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20" yWindow="270" windowWidth="14430" windowHeight="11025" activeTab="3"/>
  </bookViews>
  <sheets>
    <sheet name="Travel" sheetId="1" r:id="rId1"/>
    <sheet name="Hospitality provided" sheetId="2" r:id="rId2"/>
    <sheet name="Gifts and hospitality received" sheetId="3" r:id="rId3"/>
    <sheet name="Other" sheetId="6" r:id="rId4"/>
  </sheets>
  <externalReferences>
    <externalReference r:id="rId5"/>
  </externalReferences>
  <definedNames>
    <definedName name="_xlnm.Print_Area" localSheetId="2">'Gifts and hospitality received'!$A$1:$E$24</definedName>
    <definedName name="_xlnm.Print_Area" localSheetId="1">'Hospitality provided'!$A$1:$E$20</definedName>
    <definedName name="_xlnm.Print_Area" localSheetId="0">Travel!$A$1:$E$142</definedName>
    <definedName name="_xlnm.Print_Area">'[1]Hospitality provided'!$A$1:$E$35</definedName>
  </definedNames>
  <calcPr calcId="145621"/>
</workbook>
</file>

<file path=xl/calcChain.xml><?xml version="1.0" encoding="utf-8"?>
<calcChain xmlns="http://schemas.openxmlformats.org/spreadsheetml/2006/main">
  <c r="B21" i="6" l="1"/>
  <c r="B17" i="6"/>
  <c r="B132" i="1" l="1"/>
  <c r="B140" i="1"/>
  <c r="B134" i="1" l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57" i="1"/>
  <c r="B56" i="1"/>
  <c r="B52" i="1"/>
  <c r="B40" i="1"/>
  <c r="B23" i="1"/>
  <c r="B22" i="1"/>
  <c r="B15" i="1"/>
  <c r="B14" i="1"/>
</calcChain>
</file>

<file path=xl/sharedStrings.xml><?xml version="1.0" encoding="utf-8"?>
<sst xmlns="http://schemas.openxmlformats.org/spreadsheetml/2006/main" count="356" uniqueCount="149">
  <si>
    <t>Disclosure period</t>
  </si>
  <si>
    <t>International and domestic travel expenses</t>
  </si>
  <si>
    <t>International Travel</t>
  </si>
  <si>
    <t>Credit Card expenses</t>
  </si>
  <si>
    <t>Date</t>
  </si>
  <si>
    <t>Amount (NZ$)*</t>
  </si>
  <si>
    <t xml:space="preserve">Purpose (for example attending conference on...) </t>
  </si>
  <si>
    <t>Nature (such as hotel costs, airfares, and taxis)</t>
  </si>
  <si>
    <t>Location/s</t>
  </si>
  <si>
    <t>Non-Credit Card expenses</t>
  </si>
  <si>
    <t>DomesticTravel</t>
  </si>
  <si>
    <t xml:space="preserve">Purpose (eg, visiting district offices ...) </t>
  </si>
  <si>
    <t>Nature (eg, hotel costs, travel, etc)</t>
  </si>
  <si>
    <t>Domestic Travel</t>
  </si>
  <si>
    <t>non-Credit Card expenses</t>
  </si>
  <si>
    <t>* Provide GST-inclusive figures</t>
  </si>
  <si>
    <t xml:space="preserve">Hospitality provided </t>
  </si>
  <si>
    <t>Hospitality provided</t>
  </si>
  <si>
    <t xml:space="preserve">Purpose (eg, hosting delegation from ...) </t>
  </si>
  <si>
    <t>Nature</t>
  </si>
  <si>
    <t>Gifts and hospitality*</t>
  </si>
  <si>
    <t xml:space="preserve">Gifts  </t>
  </si>
  <si>
    <t>Description</t>
  </si>
  <si>
    <t xml:space="preserve">Offered by </t>
  </si>
  <si>
    <t>Estimated value (NZ$)</t>
  </si>
  <si>
    <t>Offered by</t>
  </si>
  <si>
    <t xml:space="preserve">Estimated value (NZ$) </t>
  </si>
  <si>
    <t>* include items such as meals, tickets to events, gifts from overseas counterparts, travel or accomodation (including that accepted by immediate family members).</t>
  </si>
  <si>
    <t>Other</t>
  </si>
  <si>
    <t>Amount (NZ$)</t>
  </si>
  <si>
    <t xml:space="preserve">Purpose (eg, farewell for long-serving staff members) </t>
  </si>
  <si>
    <t>Location</t>
  </si>
  <si>
    <t>Ministry of Social Development</t>
  </si>
  <si>
    <t>Brendan Boyle</t>
  </si>
  <si>
    <t>Wellington</t>
  </si>
  <si>
    <t>Less reimbursement for personal calls -as per MSD Policy</t>
  </si>
  <si>
    <t>Hospitality - with an extimated value exceeding $100</t>
  </si>
  <si>
    <t>Vodafone cellphone and mobile data charges</t>
  </si>
  <si>
    <t>No items to disclose for this reporting period</t>
  </si>
  <si>
    <t>Accommodation</t>
  </si>
  <si>
    <t>Taxi - Airport to Home</t>
  </si>
  <si>
    <t>Airfare for one person return WLG-DUD</t>
  </si>
  <si>
    <t>Dunedin</t>
  </si>
  <si>
    <t>Total hospitality expenses for 12 months</t>
  </si>
  <si>
    <t>Total travel expenses 
for 12 months</t>
  </si>
  <si>
    <t>Total other expenses for 12 months</t>
  </si>
  <si>
    <t>USA</t>
  </si>
  <si>
    <t>Christchurch Staff Forum</t>
  </si>
  <si>
    <t>1 July 2015 to 30 June 2016</t>
  </si>
  <si>
    <t>008C16</t>
  </si>
  <si>
    <t>Christchurch</t>
  </si>
  <si>
    <t>Airfare for one person return WLG-CHC</t>
  </si>
  <si>
    <t>Airfares</t>
  </si>
  <si>
    <t>04/06/2015</t>
  </si>
  <si>
    <t>Taxi - Home to Airport</t>
  </si>
  <si>
    <t>08/08/15 - 14/08/15</t>
  </si>
  <si>
    <t>Strategic Leadership Group Study Tour</t>
  </si>
  <si>
    <t>Business Meeting</t>
  </si>
  <si>
    <t>Dunedin Staff Forum</t>
  </si>
  <si>
    <t>Bi Annual Bilateral Meetings with Australian Counterparts</t>
  </si>
  <si>
    <t>National Leadership Summit</t>
  </si>
  <si>
    <t>Auckland</t>
  </si>
  <si>
    <t>Airfare for one person return WLG-AKL</t>
  </si>
  <si>
    <t>Rental Car</t>
  </si>
  <si>
    <t>Department of Internal Affairs</t>
  </si>
  <si>
    <t>NZ</t>
  </si>
  <si>
    <t>02/09/2015 - 04/09/15</t>
  </si>
  <si>
    <t>Events with Minister</t>
  </si>
  <si>
    <t>Public Sector Excellence Awards Ticket</t>
  </si>
  <si>
    <t>IPANZ</t>
  </si>
  <si>
    <t>Airfare for one person return WLG-WRE</t>
  </si>
  <si>
    <t>Airfare for one person return WLG-HLZ</t>
  </si>
  <si>
    <t>Whangarei</t>
  </si>
  <si>
    <t>Hamilton</t>
  </si>
  <si>
    <t>Taxi - Airport to Work</t>
  </si>
  <si>
    <t>Taxi - Home to Work</t>
  </si>
  <si>
    <t>Northland Staff Forum</t>
  </si>
  <si>
    <t>Hamilton Staff Forum</t>
  </si>
  <si>
    <t>Wellington Staff Forum</t>
  </si>
  <si>
    <t>Account Fee</t>
  </si>
  <si>
    <t>Renewal of Diplomatic Passport</t>
  </si>
  <si>
    <t>ESTA Application</t>
  </si>
  <si>
    <t>Taxis x 2</t>
  </si>
  <si>
    <t>Meetings with Staff ahead of trial</t>
  </si>
  <si>
    <t>Airport Parking</t>
  </si>
  <si>
    <t>Trial in Christchurch</t>
  </si>
  <si>
    <t>08/08/2015 - 14/08/2015</t>
  </si>
  <si>
    <t>Meetings with Staff to commemorate 1st anniversary of Ashburton event</t>
  </si>
  <si>
    <t>Waitangi Day Celebrations</t>
  </si>
  <si>
    <t>Airfare for one person return WLG-KKE - Acting CE</t>
  </si>
  <si>
    <t>Kerikeri</t>
  </si>
  <si>
    <t>Taxi - Airport to Hotel</t>
  </si>
  <si>
    <t>Taxi - Hotel to Airport</t>
  </si>
  <si>
    <t>Gisborne</t>
  </si>
  <si>
    <t>Airfare for one person one way CHC-WLG</t>
  </si>
  <si>
    <t>Airfare for one person one way DUD-CHC</t>
  </si>
  <si>
    <t>Airfare for one person one way WLG-CHC</t>
  </si>
  <si>
    <t>Meals while travelling in US on business</t>
  </si>
  <si>
    <t>Taxi - Work to Meeting</t>
  </si>
  <si>
    <t>Taxi - Meeting to Work</t>
  </si>
  <si>
    <t>8/08/2015 - 14/08/15</t>
  </si>
  <si>
    <t>Taxi to Meeting</t>
  </si>
  <si>
    <t>Taxi to Airport</t>
  </si>
  <si>
    <t>4/11/2015 - 5/11/15</t>
  </si>
  <si>
    <t>11/11/2015 - 13/11/15</t>
  </si>
  <si>
    <t>Taxi - Airport to Meeting</t>
  </si>
  <si>
    <t>Booking fees for cancelled flight</t>
  </si>
  <si>
    <t>Canterbury Children's Team Launch with Minister</t>
  </si>
  <si>
    <t>Business Meetings</t>
  </si>
  <si>
    <t>Airfare for one person return WLG-GIS - Acting CE</t>
  </si>
  <si>
    <t>Taxi - Airport to City</t>
  </si>
  <si>
    <t>Taxi - to Meeting</t>
  </si>
  <si>
    <t>24/02/2016 - 26/02/2016</t>
  </si>
  <si>
    <t>4/02/2016 - 06/02/2016</t>
  </si>
  <si>
    <t>29/02/2016 - 01/03/2016</t>
  </si>
  <si>
    <t>Taxi - City to Airport</t>
  </si>
  <si>
    <t>7/03/2016 - 09/03/2016</t>
  </si>
  <si>
    <t>Taxi - CBD to Accommodation</t>
  </si>
  <si>
    <t>Auckland Staff Forum</t>
  </si>
  <si>
    <t>Taxi - Meeting to Airport</t>
  </si>
  <si>
    <t>2 x tickets for All Blacks vs. Wales</t>
  </si>
  <si>
    <t>AirNZ</t>
  </si>
  <si>
    <t xml:space="preserve">$140 per ticket and $57 per person catering </t>
  </si>
  <si>
    <t>20/05/2016 - 21/05/2016</t>
  </si>
  <si>
    <t>Airfare for one person one way WLG-GIS</t>
  </si>
  <si>
    <t>Airfare for one person one way GIS-WLG</t>
  </si>
  <si>
    <t>Taxi - Papanui to City</t>
  </si>
  <si>
    <t>Booking fees for cancelled flight - Acting CE</t>
  </si>
  <si>
    <t>Rotorua</t>
  </si>
  <si>
    <t>Carparking at airport</t>
  </si>
  <si>
    <t>Accommodation - Acting CE</t>
  </si>
  <si>
    <t>Rental Car - Acting CE</t>
  </si>
  <si>
    <t>Institute of Directors</t>
  </si>
  <si>
    <t>Membership</t>
  </si>
  <si>
    <t>Car Hire Dunedin</t>
  </si>
  <si>
    <t>Car hire Gisborne</t>
  </si>
  <si>
    <t>Booking fees for cancelled airfare for one person return WLG-AKL</t>
  </si>
  <si>
    <t>01/06/2016 - 03/06/16</t>
  </si>
  <si>
    <t>Taxi meeting to meeting</t>
  </si>
  <si>
    <t>Taxi meeting to work</t>
  </si>
  <si>
    <t>taxi - Meeting to Airport</t>
  </si>
  <si>
    <t>Events with Minister and Business Meetings</t>
  </si>
  <si>
    <t>Executive Leadership Summit</t>
  </si>
  <si>
    <t>Meetings with Staff</t>
  </si>
  <si>
    <t xml:space="preserve">Attend funeral for former W&amp;I Board Member </t>
  </si>
  <si>
    <t>Accommodation - only room available in Chch on 21 February so required to pay premium</t>
  </si>
  <si>
    <t>Refreshments for staff - no alcohol</t>
  </si>
  <si>
    <t>July 15 - June 16</t>
  </si>
  <si>
    <t>Net Vodafone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</si>
</sst>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;[Red]\-&quot;$&quot;#,##0"/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_);[Red]\(&quot;$&quot;#,##0.00\)"/>
    <numFmt numFmtId="165" formatCode="0.00_ ;[Red]\-0.00\ "/>
    <numFmt numFmtId="166" formatCode="&quot;$&quot;#,##0.00"/>
    <numFmt numFmtId="168" formatCode="&quot;$&quot;#,##0.00;[Red]&quot;$&quot;#,##0.00"/>
  </numFmts>
  <fonts count="33" x14ac:knownFonts="1">
    <font>
      <sz val="10"/>
      <color indexed="8"/>
      <name val="Arial"/>
      <family val="2"/>
    </font>
    <font>
      <sz val="11"/>
      <color theme="1"/>
      <name val="Arial Mäori"/>
      <family val="2"/>
    </font>
    <font>
      <sz val="11"/>
      <color theme="1"/>
      <name val="Arial Mäori"/>
      <family val="2"/>
    </font>
    <font>
      <sz val="11"/>
      <color theme="1"/>
      <name val="Arial Mäori"/>
      <family val="2"/>
    </font>
    <font>
      <sz val="11"/>
      <color theme="1"/>
      <name val="Arial Mäo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color indexed="62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 Mäori"/>
      <family val="2"/>
    </font>
    <font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5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2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28" fillId="8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8" borderId="0" applyNumberFormat="0" applyBorder="0" applyAlignment="0" applyProtection="0"/>
    <xf numFmtId="0" fontId="28" fillId="3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19" fillId="13" borderId="0" applyNumberFormat="0" applyBorder="0" applyAlignment="0" applyProtection="0"/>
    <xf numFmtId="0" fontId="23" fillId="14" borderId="1" applyNumberFormat="0" applyAlignment="0" applyProtection="0"/>
    <xf numFmtId="0" fontId="25" fillId="15" borderId="2" applyNumberFormat="0" applyAlignment="0" applyProtection="0"/>
    <xf numFmtId="0" fontId="27" fillId="0" borderId="0" applyNumberFormat="0" applyFill="0" applyBorder="0" applyAlignment="0" applyProtection="0"/>
    <xf numFmtId="0" fontId="18" fillId="16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21" fillId="6" borderId="1" applyNumberFormat="0" applyAlignment="0" applyProtection="0"/>
    <xf numFmtId="0" fontId="24" fillId="0" borderId="6" applyNumberFormat="0" applyFill="0" applyAlignment="0" applyProtection="0"/>
    <xf numFmtId="0" fontId="20" fillId="6" borderId="0" applyNumberFormat="0" applyBorder="0" applyAlignment="0" applyProtection="0"/>
    <xf numFmtId="0" fontId="13" fillId="4" borderId="7" applyNumberFormat="0" applyFont="0" applyAlignment="0" applyProtection="0"/>
    <xf numFmtId="0" fontId="22" fillId="14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2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7" applyNumberFormat="0" applyFont="0" applyAlignment="0" applyProtection="0"/>
    <xf numFmtId="0" fontId="6" fillId="0" borderId="9" applyNumberFormat="0" applyFill="0" applyAlignment="0" applyProtection="0"/>
    <xf numFmtId="44" fontId="5" fillId="0" borderId="0" applyFont="0" applyFill="0" applyBorder="0" applyAlignment="0" applyProtection="0"/>
    <xf numFmtId="0" fontId="4" fillId="0" borderId="0"/>
    <xf numFmtId="0" fontId="30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2" fillId="0" borderId="0"/>
  </cellStyleXfs>
  <cellXfs count="233">
    <xf numFmtId="0" fontId="0" fillId="0" borderId="0" xfId="0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6" fillId="0" borderId="11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7" fillId="17" borderId="11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18" borderId="0" xfId="0" applyFont="1" applyFill="1" applyBorder="1" applyAlignment="1">
      <alignment wrapText="1"/>
    </xf>
    <xf numFmtId="0" fontId="8" fillId="18" borderId="12" xfId="0" applyFont="1" applyFill="1" applyBorder="1" applyAlignment="1">
      <alignment wrapText="1"/>
    </xf>
    <xf numFmtId="0" fontId="8" fillId="17" borderId="11" xfId="0" applyFont="1" applyFill="1" applyBorder="1" applyAlignment="1">
      <alignment wrapText="1"/>
    </xf>
    <xf numFmtId="0" fontId="8" fillId="17" borderId="12" xfId="0" applyFont="1" applyFill="1" applyBorder="1" applyAlignment="1">
      <alignment wrapText="1"/>
    </xf>
    <xf numFmtId="0" fontId="7" fillId="17" borderId="12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13" xfId="0" applyBorder="1" applyAlignment="1">
      <alignment wrapText="1"/>
    </xf>
    <xf numFmtId="0" fontId="6" fillId="0" borderId="14" xfId="0" applyFont="1" applyBorder="1" applyAlignment="1">
      <alignment wrapText="1"/>
    </xf>
    <xf numFmtId="0" fontId="7" fillId="18" borderId="15" xfId="0" applyFont="1" applyFill="1" applyBorder="1" applyAlignment="1">
      <alignment wrapText="1"/>
    </xf>
    <xf numFmtId="0" fontId="6" fillId="0" borderId="17" xfId="0" applyFont="1" applyBorder="1" applyAlignment="1">
      <alignment wrapText="1"/>
    </xf>
    <xf numFmtId="0" fontId="0" fillId="0" borderId="18" xfId="0" applyBorder="1" applyAlignment="1">
      <alignment vertical="top" wrapText="1"/>
    </xf>
    <xf numFmtId="0" fontId="0" fillId="0" borderId="15" xfId="0" applyBorder="1" applyAlignment="1">
      <alignment wrapText="1"/>
    </xf>
    <xf numFmtId="0" fontId="7" fillId="17" borderId="14" xfId="0" applyFont="1" applyFill="1" applyBorder="1" applyAlignment="1">
      <alignment wrapText="1"/>
    </xf>
    <xf numFmtId="0" fontId="8" fillId="17" borderId="16" xfId="0" applyFont="1" applyFill="1" applyBorder="1" applyAlignment="1">
      <alignment vertical="top" wrapText="1"/>
    </xf>
    <xf numFmtId="0" fontId="7" fillId="17" borderId="17" xfId="0" applyFont="1" applyFill="1" applyBorder="1" applyAlignment="1">
      <alignment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8" fillId="0" borderId="0" xfId="0" applyFont="1" applyFill="1" applyBorder="1" applyAlignment="1">
      <alignment wrapText="1"/>
    </xf>
    <xf numFmtId="0" fontId="6" fillId="0" borderId="15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19" borderId="0" xfId="0" applyFont="1" applyFill="1" applyBorder="1" applyAlignment="1"/>
    <xf numFmtId="0" fontId="0" fillId="19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12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5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8" fillId="18" borderId="14" xfId="0" applyFont="1" applyFill="1" applyBorder="1" applyAlignment="1">
      <alignment wrapText="1"/>
    </xf>
    <xf numFmtId="0" fontId="6" fillId="0" borderId="21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8" fillId="17" borderId="14" xfId="0" applyFont="1" applyFill="1" applyBorder="1" applyAlignment="1">
      <alignment wrapText="1"/>
    </xf>
    <xf numFmtId="0" fontId="8" fillId="17" borderId="17" xfId="0" applyFont="1" applyFill="1" applyBorder="1" applyAlignment="1">
      <alignment wrapText="1"/>
    </xf>
    <xf numFmtId="0" fontId="11" fillId="0" borderId="10" xfId="0" applyFont="1" applyBorder="1" applyAlignment="1">
      <alignment wrapText="1"/>
    </xf>
    <xf numFmtId="0" fontId="8" fillId="18" borderId="23" xfId="0" applyFont="1" applyFill="1" applyBorder="1" applyAlignment="1">
      <alignment vertical="center" wrapText="1"/>
    </xf>
    <xf numFmtId="0" fontId="8" fillId="18" borderId="12" xfId="0" applyFont="1" applyFill="1" applyBorder="1" applyAlignment="1">
      <alignment vertical="center" wrapText="1"/>
    </xf>
    <xf numFmtId="0" fontId="8" fillId="18" borderId="18" xfId="0" applyFont="1" applyFill="1" applyBorder="1" applyAlignment="1">
      <alignment vertical="center" wrapText="1"/>
    </xf>
    <xf numFmtId="0" fontId="8" fillId="17" borderId="23" xfId="0" applyFont="1" applyFill="1" applyBorder="1" applyAlignment="1">
      <alignment vertical="center" wrapText="1"/>
    </xf>
    <xf numFmtId="0" fontId="8" fillId="17" borderId="16" xfId="0" applyFont="1" applyFill="1" applyBorder="1" applyAlignment="1">
      <alignment vertical="center" wrapText="1"/>
    </xf>
    <xf numFmtId="0" fontId="8" fillId="17" borderId="11" xfId="0" applyFont="1" applyFill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21" xfId="0" applyFont="1" applyBorder="1" applyAlignment="1">
      <alignment wrapText="1"/>
    </xf>
    <xf numFmtId="0" fontId="11" fillId="0" borderId="22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Fill="1" applyBorder="1"/>
    <xf numFmtId="0" fontId="0" fillId="19" borderId="15" xfId="0" applyFont="1" applyFill="1" applyBorder="1" applyAlignment="1">
      <alignment wrapText="1"/>
    </xf>
    <xf numFmtId="0" fontId="10" fillId="19" borderId="18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8" fillId="0" borderId="25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centerContinuous" vertical="center" wrapText="1"/>
    </xf>
    <xf numFmtId="0" fontId="12" fillId="0" borderId="11" xfId="0" applyFont="1" applyBorder="1" applyAlignment="1">
      <alignment horizontal="centerContinuous" vertical="center" wrapText="1"/>
    </xf>
    <xf numFmtId="0" fontId="12" fillId="0" borderId="17" xfId="0" applyFont="1" applyBorder="1" applyAlignment="1">
      <alignment horizontal="centerContinuous" vertical="center" wrapText="1"/>
    </xf>
    <xf numFmtId="0" fontId="9" fillId="0" borderId="18" xfId="0" applyFont="1" applyFill="1" applyBorder="1" applyAlignment="1">
      <alignment horizontal="centerContinuous" vertical="center" wrapText="1"/>
    </xf>
    <xf numFmtId="0" fontId="12" fillId="0" borderId="0" xfId="0" applyFont="1" applyBorder="1" applyAlignment="1">
      <alignment horizontal="centerContinuous" vertical="center" wrapText="1"/>
    </xf>
    <xf numFmtId="0" fontId="12" fillId="0" borderId="15" xfId="0" applyFont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0" fillId="0" borderId="11" xfId="0" applyBorder="1" applyAlignment="1">
      <alignment horizontal="centerContinuous" vertical="center" wrapText="1"/>
    </xf>
    <xf numFmtId="0" fontId="0" fillId="0" borderId="17" xfId="0" applyBorder="1" applyAlignment="1">
      <alignment horizontal="centerContinuous" vertical="center" wrapText="1"/>
    </xf>
    <xf numFmtId="4" fontId="6" fillId="0" borderId="0" xfId="0" applyNumberFormat="1" applyFont="1" applyBorder="1" applyAlignment="1">
      <alignment vertical="center" wrapText="1"/>
    </xf>
    <xf numFmtId="4" fontId="6" fillId="0" borderId="24" xfId="0" applyNumberFormat="1" applyFont="1" applyFill="1" applyBorder="1" applyAlignment="1">
      <alignment vertical="center" wrapText="1"/>
    </xf>
    <xf numFmtId="4" fontId="12" fillId="0" borderId="11" xfId="0" applyNumberFormat="1" applyFont="1" applyBorder="1" applyAlignment="1">
      <alignment horizontal="centerContinuous" vertical="center" wrapText="1"/>
    </xf>
    <xf numFmtId="4" fontId="8" fillId="18" borderId="0" xfId="0" applyNumberFormat="1" applyFont="1" applyFill="1" applyBorder="1" applyAlignment="1">
      <alignment vertical="center" wrapText="1"/>
    </xf>
    <xf numFmtId="4" fontId="6" fillId="0" borderId="11" xfId="0" applyNumberFormat="1" applyFont="1" applyBorder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 applyBorder="1" applyAlignment="1">
      <alignment wrapText="1"/>
    </xf>
    <xf numFmtId="4" fontId="8" fillId="17" borderId="12" xfId="0" applyNumberFormat="1" applyFont="1" applyFill="1" applyBorder="1" applyAlignment="1">
      <alignment vertical="center" wrapText="1"/>
    </xf>
    <xf numFmtId="4" fontId="8" fillId="17" borderId="11" xfId="0" applyNumberFormat="1" applyFont="1" applyFill="1" applyBorder="1" applyAlignment="1">
      <alignment wrapText="1"/>
    </xf>
    <xf numFmtId="4" fontId="0" fillId="0" borderId="10" xfId="0" applyNumberFormat="1" applyBorder="1" applyAlignment="1">
      <alignment wrapText="1"/>
    </xf>
    <xf numFmtId="14" fontId="0" fillId="0" borderId="18" xfId="0" applyNumberFormat="1" applyFont="1" applyBorder="1" applyAlignment="1">
      <alignment wrapText="1"/>
    </xf>
    <xf numFmtId="14" fontId="0" fillId="0" borderId="0" xfId="0" applyNumberFormat="1" applyFont="1" applyBorder="1" applyAlignment="1">
      <alignment wrapText="1"/>
    </xf>
    <xf numFmtId="0" fontId="6" fillId="0" borderId="23" xfId="0" applyFont="1" applyBorder="1" applyAlignment="1">
      <alignment vertical="top" wrapText="1"/>
    </xf>
    <xf numFmtId="0" fontId="10" fillId="19" borderId="0" xfId="0" applyFont="1" applyFill="1" applyBorder="1" applyAlignment="1">
      <alignment wrapText="1"/>
    </xf>
    <xf numFmtId="0" fontId="10" fillId="19" borderId="0" xfId="0" applyFont="1" applyFill="1" applyAlignment="1">
      <alignment wrapText="1"/>
    </xf>
    <xf numFmtId="0" fontId="10" fillId="20" borderId="0" xfId="0" applyFont="1" applyFill="1" applyBorder="1" applyAlignment="1">
      <alignment wrapText="1"/>
    </xf>
    <xf numFmtId="0" fontId="10" fillId="20" borderId="0" xfId="0" applyFont="1" applyFill="1" applyAlignment="1">
      <alignment wrapText="1"/>
    </xf>
    <xf numFmtId="0" fontId="0" fillId="20" borderId="0" xfId="0" applyFont="1" applyFill="1" applyBorder="1"/>
    <xf numFmtId="0" fontId="0" fillId="0" borderId="0" xfId="0" applyFont="1" applyBorder="1" applyAlignment="1">
      <alignment horizontal="right" wrapText="1"/>
    </xf>
    <xf numFmtId="0" fontId="6" fillId="19" borderId="0" xfId="0" applyFont="1" applyFill="1" applyBorder="1" applyAlignment="1">
      <alignment horizontal="right"/>
    </xf>
    <xf numFmtId="164" fontId="0" fillId="0" borderId="0" xfId="0" applyNumberFormat="1" applyFont="1" applyAlignment="1">
      <alignment horizontal="right" wrapText="1"/>
    </xf>
    <xf numFmtId="4" fontId="0" fillId="0" borderId="0" xfId="0" applyNumberFormat="1" applyFont="1" applyBorder="1" applyAlignment="1">
      <alignment wrapText="1"/>
    </xf>
    <xf numFmtId="4" fontId="10" fillId="19" borderId="0" xfId="0" applyNumberFormat="1" applyFont="1" applyFill="1" applyAlignment="1">
      <alignment wrapText="1"/>
    </xf>
    <xf numFmtId="4" fontId="10" fillId="20" borderId="0" xfId="0" applyNumberFormat="1" applyFont="1" applyFill="1" applyAlignment="1">
      <alignment wrapText="1"/>
    </xf>
    <xf numFmtId="4" fontId="6" fillId="0" borderId="26" xfId="0" applyNumberFormat="1" applyFont="1" applyBorder="1" applyAlignment="1">
      <alignment wrapText="1"/>
    </xf>
    <xf numFmtId="166" fontId="6" fillId="0" borderId="13" xfId="0" applyNumberFormat="1" applyFont="1" applyBorder="1" applyAlignment="1">
      <alignment horizontal="right" wrapText="1"/>
    </xf>
    <xf numFmtId="0" fontId="0" fillId="0" borderId="0" xfId="0" quotePrefix="1" applyAlignment="1">
      <alignment vertical="top" wrapText="1"/>
    </xf>
    <xf numFmtId="4" fontId="0" fillId="0" borderId="0" xfId="0" applyNumberFormat="1" applyFont="1" applyFill="1" applyBorder="1" applyAlignment="1">
      <alignment wrapText="1"/>
    </xf>
    <xf numFmtId="0" fontId="0" fillId="0" borderId="0" xfId="0" applyFill="1"/>
    <xf numFmtId="0" fontId="0" fillId="0" borderId="15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8" fontId="0" fillId="0" borderId="0" xfId="0" applyNumberFormat="1" applyFont="1" applyBorder="1" applyAlignment="1">
      <alignment wrapText="1"/>
    </xf>
    <xf numFmtId="0" fontId="10" fillId="19" borderId="16" xfId="0" applyFont="1" applyFill="1" applyBorder="1" applyAlignment="1">
      <alignment vertical="center" wrapText="1"/>
    </xf>
    <xf numFmtId="166" fontId="6" fillId="19" borderId="11" xfId="0" applyNumberFormat="1" applyFont="1" applyFill="1" applyBorder="1" applyAlignment="1">
      <alignment horizontal="right"/>
    </xf>
    <xf numFmtId="0" fontId="0" fillId="19" borderId="11" xfId="0" applyFill="1" applyBorder="1" applyAlignment="1"/>
    <xf numFmtId="0" fontId="0" fillId="19" borderId="11" xfId="0" applyFill="1" applyBorder="1" applyAlignment="1">
      <alignment wrapText="1"/>
    </xf>
    <xf numFmtId="0" fontId="0" fillId="19" borderId="17" xfId="0" applyFill="1" applyBorder="1" applyAlignment="1">
      <alignment wrapText="1"/>
    </xf>
    <xf numFmtId="15" fontId="0" fillId="0" borderId="18" xfId="0" applyNumberFormat="1" applyFont="1" applyBorder="1" applyAlignment="1">
      <alignment wrapText="1"/>
    </xf>
    <xf numFmtId="8" fontId="0" fillId="0" borderId="0" xfId="0" applyNumberFormat="1" applyFont="1" applyBorder="1" applyAlignment="1">
      <alignment horizontal="right" wrapText="1"/>
    </xf>
    <xf numFmtId="6" fontId="0" fillId="0" borderId="0" xfId="0" applyNumberFormat="1" applyFont="1" applyBorder="1" applyAlignment="1">
      <alignment wrapText="1"/>
    </xf>
    <xf numFmtId="4" fontId="6" fillId="0" borderId="12" xfId="0" applyNumberFormat="1" applyFont="1" applyBorder="1" applyAlignment="1">
      <alignment wrapText="1"/>
    </xf>
    <xf numFmtId="0" fontId="0" fillId="0" borderId="24" xfId="0" applyBorder="1" applyAlignment="1">
      <alignment vertical="top" wrapText="1"/>
    </xf>
    <xf numFmtId="4" fontId="0" fillId="0" borderId="24" xfId="0" applyNumberFormat="1" applyBorder="1" applyAlignment="1">
      <alignment wrapText="1"/>
    </xf>
    <xf numFmtId="0" fontId="0" fillId="0" borderId="24" xfId="0" applyBorder="1" applyAlignment="1">
      <alignment wrapText="1"/>
    </xf>
    <xf numFmtId="0" fontId="6" fillId="0" borderId="24" xfId="0" applyFont="1" applyBorder="1" applyAlignment="1">
      <alignment wrapText="1"/>
    </xf>
    <xf numFmtId="4" fontId="6" fillId="0" borderId="24" xfId="0" applyNumberFormat="1" applyFont="1" applyBorder="1" applyAlignment="1">
      <alignment wrapText="1"/>
    </xf>
    <xf numFmtId="166" fontId="5" fillId="22" borderId="27" xfId="0" applyNumberFormat="1" applyFont="1" applyFill="1" applyBorder="1" applyAlignment="1">
      <alignment horizontal="right" vertical="center" wrapText="1"/>
    </xf>
    <xf numFmtId="166" fontId="0" fillId="22" borderId="27" xfId="0" applyNumberFormat="1" applyFont="1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7" fontId="0" fillId="0" borderId="11" xfId="56" applyNumberFormat="1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17" xfId="0" applyFont="1" applyBorder="1" applyAlignment="1">
      <alignment wrapText="1"/>
    </xf>
    <xf numFmtId="164" fontId="0" fillId="0" borderId="0" xfId="0" applyNumberFormat="1" applyFont="1" applyFill="1" applyBorder="1" applyAlignment="1">
      <alignment horizontal="right" wrapText="1"/>
    </xf>
    <xf numFmtId="14" fontId="0" fillId="0" borderId="16" xfId="0" quotePrefix="1" applyNumberFormat="1" applyFont="1" applyBorder="1" applyAlignment="1">
      <alignment horizontal="center" wrapText="1"/>
    </xf>
    <xf numFmtId="14" fontId="0" fillId="22" borderId="27" xfId="0" quotePrefix="1" applyNumberFormat="1" applyFont="1" applyFill="1" applyBorder="1" applyAlignment="1">
      <alignment horizontal="center" vertical="center" wrapText="1"/>
    </xf>
    <xf numFmtId="14" fontId="0" fillId="21" borderId="18" xfId="0" applyNumberFormat="1" applyFont="1" applyFill="1" applyBorder="1" applyAlignment="1">
      <alignment wrapText="1"/>
    </xf>
    <xf numFmtId="0" fontId="0" fillId="21" borderId="0" xfId="0" applyFont="1" applyFill="1" applyBorder="1" applyAlignment="1">
      <alignment wrapText="1"/>
    </xf>
    <xf numFmtId="166" fontId="0" fillId="0" borderId="25" xfId="0" applyNumberFormat="1" applyFont="1" applyFill="1" applyBorder="1" applyAlignment="1">
      <alignment horizontal="left" vertical="center" wrapText="1"/>
    </xf>
    <xf numFmtId="166" fontId="0" fillId="0" borderId="27" xfId="0" applyNumberFormat="1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166" fontId="5" fillId="0" borderId="24" xfId="0" applyNumberFormat="1" applyFont="1" applyFill="1" applyBorder="1" applyAlignment="1">
      <alignment horizontal="right" vertical="center" wrapText="1"/>
    </xf>
    <xf numFmtId="14" fontId="0" fillId="0" borderId="18" xfId="0" applyNumberFormat="1" applyFont="1" applyFill="1" applyBorder="1" applyAlignment="1">
      <alignment wrapText="1"/>
    </xf>
    <xf numFmtId="8" fontId="0" fillId="0" borderId="0" xfId="0" applyNumberFormat="1" applyFont="1" applyFill="1" applyBorder="1" applyAlignment="1">
      <alignment wrapText="1"/>
    </xf>
    <xf numFmtId="166" fontId="5" fillId="0" borderId="25" xfId="0" applyNumberFormat="1" applyFont="1" applyFill="1" applyBorder="1" applyAlignment="1">
      <alignment horizontal="right" vertical="center" wrapText="1"/>
    </xf>
    <xf numFmtId="166" fontId="5" fillId="0" borderId="28" xfId="0" applyNumberFormat="1" applyFont="1" applyFill="1" applyBorder="1" applyAlignment="1">
      <alignment horizontal="right" vertical="center" wrapText="1"/>
    </xf>
    <xf numFmtId="166" fontId="5" fillId="0" borderId="27" xfId="0" applyNumberFormat="1" applyFont="1" applyFill="1" applyBorder="1" applyAlignment="1">
      <alignment horizontal="right" vertical="center" wrapText="1"/>
    </xf>
    <xf numFmtId="0" fontId="0" fillId="0" borderId="27" xfId="0" applyFill="1" applyBorder="1" applyAlignment="1">
      <alignment horizontal="left" vertical="center" wrapText="1"/>
    </xf>
    <xf numFmtId="0" fontId="31" fillId="0" borderId="0" xfId="0" applyFont="1"/>
    <xf numFmtId="14" fontId="0" fillId="0" borderId="16" xfId="0" quotePrefix="1" applyNumberFormat="1" applyFont="1" applyFill="1" applyBorder="1" applyAlignment="1">
      <alignment horizontal="center" wrapText="1"/>
    </xf>
    <xf numFmtId="7" fontId="0" fillId="0" borderId="11" xfId="56" applyNumberFormat="1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0" fillId="0" borderId="17" xfId="0" applyFont="1" applyFill="1" applyBorder="1" applyAlignment="1">
      <alignment wrapText="1"/>
    </xf>
    <xf numFmtId="14" fontId="0" fillId="0" borderId="24" xfId="0" applyNumberFormat="1" applyFill="1" applyBorder="1" applyAlignment="1">
      <alignment horizontal="center" vertical="center" wrapText="1"/>
    </xf>
    <xf numFmtId="166" fontId="0" fillId="0" borderId="28" xfId="0" applyNumberFormat="1" applyFont="1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166" fontId="0" fillId="0" borderId="28" xfId="0" applyNumberFormat="1" applyFont="1" applyFill="1" applyBorder="1" applyAlignment="1">
      <alignment vertical="center" wrapText="1"/>
    </xf>
    <xf numFmtId="166" fontId="0" fillId="0" borderId="27" xfId="0" applyNumberFormat="1" applyFont="1" applyFill="1" applyBorder="1" applyAlignment="1">
      <alignment vertical="center" wrapText="1"/>
    </xf>
    <xf numFmtId="166" fontId="0" fillId="0" borderId="25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15" xfId="0" applyFill="1" applyBorder="1" applyAlignment="1">
      <alignment wrapText="1"/>
    </xf>
    <xf numFmtId="0" fontId="0" fillId="0" borderId="0" xfId="0" applyFont="1" applyFill="1"/>
    <xf numFmtId="164" fontId="6" fillId="0" borderId="0" xfId="0" applyNumberFormat="1" applyFont="1" applyFill="1" applyBorder="1" applyAlignment="1">
      <alignment horizontal="right" wrapText="1"/>
    </xf>
    <xf numFmtId="14" fontId="0" fillId="0" borderId="24" xfId="0" quotePrefix="1" applyNumberFormat="1" applyFill="1" applyBorder="1" applyAlignment="1">
      <alignment horizontal="center" vertical="center" wrapText="1"/>
    </xf>
    <xf numFmtId="165" fontId="0" fillId="0" borderId="24" xfId="0" applyNumberForma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21" borderId="0" xfId="0" applyFill="1" applyAlignment="1">
      <alignment wrapText="1"/>
    </xf>
    <xf numFmtId="0" fontId="0" fillId="0" borderId="0" xfId="0" applyFill="1" applyAlignment="1">
      <alignment vertical="center" wrapText="1"/>
    </xf>
    <xf numFmtId="165" fontId="0" fillId="0" borderId="27" xfId="0" applyNumberFormat="1" applyFill="1" applyBorder="1" applyAlignment="1">
      <alignment horizontal="center" vertical="center" wrapText="1"/>
    </xf>
    <xf numFmtId="14" fontId="0" fillId="0" borderId="27" xfId="0" quotePrefix="1" applyNumberForma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166" fontId="0" fillId="0" borderId="27" xfId="0" applyNumberFormat="1" applyFont="1" applyFill="1" applyBorder="1" applyAlignment="1">
      <alignment horizontal="center" vertical="center" wrapText="1"/>
    </xf>
    <xf numFmtId="14" fontId="0" fillId="0" borderId="27" xfId="0" quotePrefix="1" applyNumberFormat="1" applyFont="1" applyFill="1" applyBorder="1" applyAlignment="1">
      <alignment horizontal="center" vertical="center" wrapText="1"/>
    </xf>
    <xf numFmtId="166" fontId="0" fillId="22" borderId="27" xfId="0" applyNumberFormat="1" applyFont="1" applyFill="1" applyBorder="1" applyAlignment="1">
      <alignment horizontal="center" vertical="center" wrapText="1"/>
    </xf>
    <xf numFmtId="17" fontId="0" fillId="0" borderId="0" xfId="0" applyNumberFormat="1" applyFill="1" applyAlignment="1">
      <alignment vertical="top" wrapText="1"/>
    </xf>
    <xf numFmtId="4" fontId="0" fillId="0" borderId="0" xfId="0" applyNumberFormat="1" applyFill="1" applyAlignment="1">
      <alignment wrapText="1"/>
    </xf>
    <xf numFmtId="166" fontId="5" fillId="0" borderId="16" xfId="0" applyNumberFormat="1" applyFont="1" applyFill="1" applyBorder="1" applyAlignment="1">
      <alignment horizontal="right" vertical="center" wrapText="1"/>
    </xf>
    <xf numFmtId="0" fontId="0" fillId="0" borderId="17" xfId="0" applyFill="1" applyBorder="1" applyAlignment="1">
      <alignment horizontal="left" vertical="center" wrapText="1"/>
    </xf>
    <xf numFmtId="165" fontId="0" fillId="0" borderId="24" xfId="0" applyNumberFormat="1" applyFill="1" applyBorder="1" applyAlignment="1">
      <alignment horizontal="left" vertical="center" wrapText="1"/>
    </xf>
    <xf numFmtId="166" fontId="5" fillId="0" borderId="11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wrapText="1"/>
    </xf>
    <xf numFmtId="0" fontId="0" fillId="0" borderId="24" xfId="0" applyFill="1" applyBorder="1" applyAlignment="1">
      <alignment horizontal="center" wrapText="1"/>
    </xf>
    <xf numFmtId="0" fontId="0" fillId="22" borderId="0" xfId="0" applyFill="1" applyAlignment="1">
      <alignment wrapText="1"/>
    </xf>
    <xf numFmtId="0" fontId="0" fillId="0" borderId="18" xfId="0" quotePrefix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17" fontId="0" fillId="0" borderId="18" xfId="0" quotePrefix="1" applyNumberFormat="1" applyFill="1" applyBorder="1" applyAlignment="1">
      <alignment horizontal="center" vertical="center" wrapText="1"/>
    </xf>
    <xf numFmtId="168" fontId="0" fillId="0" borderId="0" xfId="0" applyNumberFormat="1" applyFont="1" applyFill="1"/>
    <xf numFmtId="168" fontId="6" fillId="0" borderId="0" xfId="0" applyNumberFormat="1" applyFont="1" applyFill="1" applyBorder="1" applyAlignment="1">
      <alignment wrapText="1"/>
    </xf>
    <xf numFmtId="14" fontId="0" fillId="0" borderId="14" xfId="0" quotePrefix="1" applyNumberFormat="1" applyFill="1" applyBorder="1" applyAlignment="1">
      <alignment horizontal="center" vertical="center" wrapText="1"/>
    </xf>
    <xf numFmtId="14" fontId="0" fillId="0" borderId="15" xfId="0" quotePrefix="1" applyNumberFormat="1" applyFill="1" applyBorder="1" applyAlignment="1">
      <alignment horizontal="center" vertical="center" wrapText="1"/>
    </xf>
    <xf numFmtId="14" fontId="0" fillId="0" borderId="22" xfId="0" quotePrefix="1" applyNumberForma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165" fontId="0" fillId="0" borderId="27" xfId="0" applyNumberFormat="1" applyFill="1" applyBorder="1" applyAlignment="1">
      <alignment horizontal="center" vertical="center" wrapText="1"/>
    </xf>
    <xf numFmtId="165" fontId="0" fillId="0" borderId="25" xfId="0" applyNumberFormat="1" applyFill="1" applyBorder="1" applyAlignment="1">
      <alignment horizontal="center" vertical="center" wrapText="1"/>
    </xf>
    <xf numFmtId="14" fontId="0" fillId="0" borderId="27" xfId="0" quotePrefix="1" applyNumberForma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4" fontId="0" fillId="0" borderId="28" xfId="0" quotePrefix="1" applyNumberFormat="1" applyFill="1" applyBorder="1" applyAlignment="1">
      <alignment horizontal="center" vertical="center" wrapText="1"/>
    </xf>
    <xf numFmtId="14" fontId="0" fillId="0" borderId="25" xfId="0" quotePrefix="1" applyNumberFormat="1" applyFill="1" applyBorder="1" applyAlignment="1">
      <alignment horizontal="center" vertical="center" wrapText="1"/>
    </xf>
    <xf numFmtId="165" fontId="0" fillId="0" borderId="28" xfId="0" applyNumberFormat="1" applyFill="1" applyBorder="1" applyAlignment="1">
      <alignment horizontal="center" vertical="center" wrapText="1"/>
    </xf>
    <xf numFmtId="14" fontId="0" fillId="0" borderId="27" xfId="0" quotePrefix="1" applyNumberFormat="1" applyFont="1" applyFill="1" applyBorder="1" applyAlignment="1">
      <alignment horizontal="center" vertical="center" wrapText="1"/>
    </xf>
    <xf numFmtId="14" fontId="0" fillId="0" borderId="25" xfId="0" quotePrefix="1" applyNumberFormat="1" applyFont="1" applyFill="1" applyBorder="1" applyAlignment="1">
      <alignment horizontal="center" vertical="center" wrapText="1"/>
    </xf>
    <xf numFmtId="166" fontId="0" fillId="0" borderId="27" xfId="0" applyNumberFormat="1" applyFont="1" applyFill="1" applyBorder="1" applyAlignment="1">
      <alignment horizontal="center" vertical="center" wrapText="1"/>
    </xf>
    <xf numFmtId="166" fontId="0" fillId="0" borderId="25" xfId="0" applyNumberFormat="1" applyFont="1" applyFill="1" applyBorder="1" applyAlignment="1">
      <alignment horizontal="center" vertical="center" wrapText="1"/>
    </xf>
    <xf numFmtId="14" fontId="30" fillId="0" borderId="27" xfId="0" quotePrefix="1" applyNumberFormat="1" applyFont="1" applyFill="1" applyBorder="1" applyAlignment="1">
      <alignment horizontal="center" vertical="center" wrapText="1"/>
    </xf>
    <xf numFmtId="14" fontId="30" fillId="0" borderId="28" xfId="0" quotePrefix="1" applyNumberFormat="1" applyFont="1" applyFill="1" applyBorder="1" applyAlignment="1">
      <alignment horizontal="center" vertical="center" wrapText="1"/>
    </xf>
    <xf numFmtId="14" fontId="30" fillId="0" borderId="25" xfId="0" quotePrefix="1" applyNumberFormat="1" applyFont="1" applyFill="1" applyBorder="1" applyAlignment="1">
      <alignment horizontal="center" vertical="center" wrapText="1"/>
    </xf>
    <xf numFmtId="14" fontId="0" fillId="0" borderId="28" xfId="0" quotePrefix="1" applyNumberFormat="1" applyFont="1" applyFill="1" applyBorder="1" applyAlignment="1">
      <alignment horizontal="center" vertical="center" wrapText="1"/>
    </xf>
    <xf numFmtId="166" fontId="0" fillId="0" borderId="28" xfId="0" applyNumberFormat="1" applyFont="1" applyFill="1" applyBorder="1" applyAlignment="1">
      <alignment horizontal="center" vertical="center" wrapText="1"/>
    </xf>
    <xf numFmtId="166" fontId="0" fillId="22" borderId="27" xfId="0" applyNumberFormat="1" applyFont="1" applyFill="1" applyBorder="1" applyAlignment="1">
      <alignment horizontal="center" vertical="center" wrapText="1"/>
    </xf>
    <xf numFmtId="166" fontId="0" fillId="22" borderId="28" xfId="0" applyNumberFormat="1" applyFont="1" applyFill="1" applyBorder="1" applyAlignment="1">
      <alignment horizontal="center" vertical="center" wrapText="1"/>
    </xf>
    <xf numFmtId="166" fontId="0" fillId="22" borderId="25" xfId="0" applyNumberFormat="1" applyFont="1" applyFill="1" applyBorder="1" applyAlignment="1">
      <alignment horizontal="center" vertical="center" wrapText="1"/>
    </xf>
    <xf numFmtId="14" fontId="0" fillId="0" borderId="24" xfId="0" quotePrefix="1" applyNumberFormat="1" applyFill="1" applyBorder="1" applyAlignment="1">
      <alignment horizontal="center" vertical="center" wrapText="1"/>
    </xf>
    <xf numFmtId="0" fontId="8" fillId="17" borderId="16" xfId="0" applyFont="1" applyFill="1" applyBorder="1" applyAlignment="1">
      <alignment horizontal="left" vertical="center" wrapText="1"/>
    </xf>
    <xf numFmtId="0" fontId="8" fillId="17" borderId="11" xfId="0" applyFont="1" applyFill="1" applyBorder="1" applyAlignment="1">
      <alignment horizontal="left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</cellXfs>
  <cellStyles count="65">
    <cellStyle name="20% - Accent1" xfId="1" builtinId="30" customBuiltin="1"/>
    <cellStyle name="20% - Accent1 2" xfId="42"/>
    <cellStyle name="20% - Accent2" xfId="2" builtinId="34" customBuiltin="1"/>
    <cellStyle name="20% - Accent2 2" xfId="43"/>
    <cellStyle name="20% - Accent3" xfId="3" builtinId="38" customBuiltin="1"/>
    <cellStyle name="20% - Accent3 2" xfId="44"/>
    <cellStyle name="20% - Accent4" xfId="4" builtinId="42" customBuiltin="1"/>
    <cellStyle name="20% - Accent4 2" xfId="45"/>
    <cellStyle name="20% - Accent5" xfId="5" builtinId="46" customBuiltin="1"/>
    <cellStyle name="20% - Accent5 2" xfId="46"/>
    <cellStyle name="20% - Accent6" xfId="6" builtinId="50" customBuiltin="1"/>
    <cellStyle name="20% - Accent6 2" xfId="47"/>
    <cellStyle name="40% - Accent1" xfId="7" builtinId="31" customBuiltin="1"/>
    <cellStyle name="40% - Accent1 2" xfId="48"/>
    <cellStyle name="40% - Accent2" xfId="8" builtinId="35" customBuiltin="1"/>
    <cellStyle name="40% - Accent2 2" xfId="49"/>
    <cellStyle name="40% - Accent3" xfId="9" builtinId="39" customBuiltin="1"/>
    <cellStyle name="40% - Accent3 2" xfId="50"/>
    <cellStyle name="40% - Accent4" xfId="10" builtinId="43" customBuiltin="1"/>
    <cellStyle name="40% - Accent4 2" xfId="51"/>
    <cellStyle name="40% - Accent5" xfId="11" builtinId="47" customBuiltin="1"/>
    <cellStyle name="40% - Accent5 2" xfId="52"/>
    <cellStyle name="40% - Accent6" xfId="12" builtinId="51" customBuiltin="1"/>
    <cellStyle name="40% - Accent6 2" xfId="53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56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58"/>
    <cellStyle name="Normal 3" xfId="57"/>
    <cellStyle name="Normal 3 2" xfId="59"/>
    <cellStyle name="Normal 3 2 2" xfId="62"/>
    <cellStyle name="Normal 3 3" xfId="61"/>
    <cellStyle name="Normal 4" xfId="60"/>
    <cellStyle name="Normal 4 2" xfId="63"/>
    <cellStyle name="Normal 5" xfId="64"/>
    <cellStyle name="Note" xfId="37" builtinId="10" customBuiltin="1"/>
    <cellStyle name="Note 2" xfId="54"/>
    <cellStyle name="Output" xfId="38" builtinId="21" customBuiltin="1"/>
    <cellStyle name="Title" xfId="39" builtinId="15" customBuiltin="1"/>
    <cellStyle name="Total" xfId="40" builtinId="25" customBuiltin="1"/>
    <cellStyle name="Total 2" xfId="55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ch006\AppData\Local\Microsoft\Windows\Temporary%20Internet%20Files\Low\Content.IE5\9KI2VL94\updated-template-for-ce-expenses%2520june2012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spitality provide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2"/>
  <sheetViews>
    <sheetView zoomScaleNormal="100" zoomScaleSheetLayoutView="100" workbookViewId="0">
      <selection activeCell="F24" sqref="F24"/>
    </sheetView>
  </sheetViews>
  <sheetFormatPr defaultColWidth="8.85546875" defaultRowHeight="12.75" x14ac:dyDescent="0.2"/>
  <cols>
    <col min="1" max="1" width="23.85546875" style="15" customWidth="1"/>
    <col min="2" max="2" width="23.140625" style="94" customWidth="1"/>
    <col min="3" max="3" width="33.7109375" style="2" customWidth="1"/>
    <col min="4" max="4" width="44.42578125" style="2" bestFit="1" customWidth="1"/>
    <col min="5" max="5" width="28.140625" style="2" customWidth="1"/>
    <col min="6" max="6" width="65.28515625" style="170" bestFit="1" customWidth="1"/>
    <col min="7" max="16384" width="8.85546875" style="170"/>
  </cols>
  <sheetData>
    <row r="1" spans="1:6" s="169" customFormat="1" ht="36" customHeight="1" x14ac:dyDescent="0.2">
      <c r="A1" s="76" t="s">
        <v>32</v>
      </c>
      <c r="B1" s="89"/>
      <c r="C1" s="77"/>
      <c r="D1" s="77"/>
      <c r="E1" s="69"/>
    </row>
    <row r="2" spans="1:6" s="169" customFormat="1" ht="35.25" customHeight="1" x14ac:dyDescent="0.2">
      <c r="A2" s="78" t="s">
        <v>33</v>
      </c>
      <c r="B2" s="90"/>
      <c r="C2" s="71" t="s">
        <v>0</v>
      </c>
      <c r="D2" s="79" t="s">
        <v>48</v>
      </c>
      <c r="E2" s="79"/>
    </row>
    <row r="3" spans="1:6" s="169" customFormat="1" ht="35.25" customHeight="1" x14ac:dyDescent="0.2">
      <c r="A3" s="80" t="s">
        <v>1</v>
      </c>
      <c r="B3" s="91"/>
      <c r="C3" s="81"/>
      <c r="D3" s="81"/>
      <c r="E3" s="82"/>
    </row>
    <row r="4" spans="1:6" s="8" customFormat="1" ht="31.5" x14ac:dyDescent="0.2">
      <c r="A4" s="55" t="s">
        <v>2</v>
      </c>
      <c r="B4" s="92" t="s">
        <v>3</v>
      </c>
      <c r="C4" s="9"/>
      <c r="D4" s="9"/>
      <c r="E4" s="19"/>
    </row>
    <row r="5" spans="1:6" s="169" customFormat="1" ht="25.5" x14ac:dyDescent="0.2">
      <c r="A5" s="133" t="s">
        <v>4</v>
      </c>
      <c r="B5" s="134" t="s">
        <v>5</v>
      </c>
      <c r="C5" s="133" t="s">
        <v>6</v>
      </c>
      <c r="D5" s="133" t="s">
        <v>7</v>
      </c>
      <c r="E5" s="133" t="s">
        <v>8</v>
      </c>
    </row>
    <row r="6" spans="1:6" s="169" customFormat="1" ht="12.75" customHeight="1" x14ac:dyDescent="0.2">
      <c r="A6" s="162">
        <v>42191</v>
      </c>
      <c r="B6" s="155">
        <v>134.5</v>
      </c>
      <c r="C6" s="216" t="s">
        <v>64</v>
      </c>
      <c r="D6" s="156" t="s">
        <v>80</v>
      </c>
      <c r="E6" s="183" t="s">
        <v>65</v>
      </c>
    </row>
    <row r="7" spans="1:6" s="169" customFormat="1" ht="14.25" x14ac:dyDescent="0.2">
      <c r="A7" s="162">
        <v>42207</v>
      </c>
      <c r="B7" s="155">
        <v>21.92</v>
      </c>
      <c r="C7" s="217"/>
      <c r="D7" s="156" t="s">
        <v>81</v>
      </c>
      <c r="E7" s="183" t="s">
        <v>46</v>
      </c>
      <c r="F7" s="157" t="s">
        <v>49</v>
      </c>
    </row>
    <row r="8" spans="1:6" s="169" customFormat="1" ht="25.5" x14ac:dyDescent="0.2">
      <c r="A8" s="184" t="s">
        <v>86</v>
      </c>
      <c r="B8" s="155">
        <v>91.94</v>
      </c>
      <c r="C8" s="183" t="s">
        <v>56</v>
      </c>
      <c r="D8" s="156" t="s">
        <v>97</v>
      </c>
      <c r="E8" s="183" t="s">
        <v>46</v>
      </c>
    </row>
    <row r="10" spans="1:6" s="169" customFormat="1" ht="13.15" customHeight="1" x14ac:dyDescent="0.2">
      <c r="A10" s="143"/>
      <c r="B10" s="135"/>
      <c r="C10" s="185"/>
      <c r="D10" s="136"/>
      <c r="E10" s="185"/>
    </row>
    <row r="11" spans="1:6" s="168" customFormat="1" x14ac:dyDescent="0.2">
      <c r="A11" s="130"/>
      <c r="B11" s="131"/>
      <c r="C11" s="132"/>
      <c r="D11" s="132"/>
      <c r="E11" s="132"/>
      <c r="F11" s="169"/>
    </row>
    <row r="12" spans="1:6" s="8" customFormat="1" ht="31.5" x14ac:dyDescent="0.2">
      <c r="A12" s="55" t="s">
        <v>2</v>
      </c>
      <c r="B12" s="92" t="s">
        <v>9</v>
      </c>
      <c r="C12" s="9"/>
      <c r="D12" s="9"/>
      <c r="E12" s="19"/>
    </row>
    <row r="13" spans="1:6" s="169" customFormat="1" x14ac:dyDescent="0.2">
      <c r="A13" s="101" t="s">
        <v>4</v>
      </c>
      <c r="B13" s="129" t="s">
        <v>5</v>
      </c>
      <c r="C13" s="5"/>
      <c r="D13" s="5"/>
      <c r="E13" s="18"/>
    </row>
    <row r="14" spans="1:6" s="169" customFormat="1" ht="12.75" customHeight="1" x14ac:dyDescent="0.2">
      <c r="A14" s="214" t="s">
        <v>55</v>
      </c>
      <c r="B14" s="155">
        <f>7413.15-2.76</f>
        <v>7410.3899999999994</v>
      </c>
      <c r="C14" s="216" t="s">
        <v>56</v>
      </c>
      <c r="D14" s="156" t="s">
        <v>52</v>
      </c>
      <c r="E14" s="223" t="s">
        <v>46</v>
      </c>
    </row>
    <row r="15" spans="1:6" s="169" customFormat="1" x14ac:dyDescent="0.2">
      <c r="A15" s="221"/>
      <c r="B15" s="154">
        <f>2102.68+155.78</f>
        <v>2258.46</v>
      </c>
      <c r="C15" s="222"/>
      <c r="D15" s="164" t="s">
        <v>39</v>
      </c>
      <c r="E15" s="224"/>
    </row>
    <row r="16" spans="1:6" s="169" customFormat="1" x14ac:dyDescent="0.2">
      <c r="A16" s="215"/>
      <c r="B16" s="154">
        <v>93.46</v>
      </c>
      <c r="C16" s="217"/>
      <c r="D16" s="164" t="s">
        <v>82</v>
      </c>
      <c r="E16" s="225"/>
    </row>
    <row r="17" spans="1:6" s="8" customFormat="1" ht="15" x14ac:dyDescent="0.2">
      <c r="A17" s="130"/>
      <c r="B17" s="131"/>
      <c r="C17" s="132"/>
      <c r="D17" s="132"/>
      <c r="E17" s="132"/>
    </row>
    <row r="18" spans="1:6" s="169" customFormat="1" ht="31.5" x14ac:dyDescent="0.2">
      <c r="A18" s="56" t="s">
        <v>10</v>
      </c>
      <c r="B18" s="96" t="s">
        <v>3</v>
      </c>
      <c r="C18" s="13"/>
      <c r="D18" s="13"/>
      <c r="E18" s="23"/>
    </row>
    <row r="19" spans="1:6" s="169" customFormat="1" ht="26.45" customHeight="1" x14ac:dyDescent="0.2">
      <c r="A19" s="133" t="s">
        <v>4</v>
      </c>
      <c r="B19" s="134" t="s">
        <v>5</v>
      </c>
      <c r="C19" s="133" t="s">
        <v>11</v>
      </c>
      <c r="D19" s="133" t="s">
        <v>12</v>
      </c>
      <c r="E19" s="133" t="s">
        <v>8</v>
      </c>
      <c r="F19" s="119"/>
    </row>
    <row r="20" spans="1:6" ht="25.5" x14ac:dyDescent="0.2">
      <c r="A20" s="162">
        <v>42318</v>
      </c>
      <c r="B20" s="150">
        <v>107.35</v>
      </c>
      <c r="C20" s="177" t="s">
        <v>59</v>
      </c>
      <c r="D20" s="176" t="s">
        <v>84</v>
      </c>
      <c r="E20" s="175" t="s">
        <v>34</v>
      </c>
    </row>
    <row r="21" spans="1:6" ht="28.5" customHeight="1" x14ac:dyDescent="0.2">
      <c r="A21" s="162">
        <v>42339</v>
      </c>
      <c r="B21" s="150">
        <v>75.099999999999994</v>
      </c>
      <c r="C21" s="177" t="s">
        <v>85</v>
      </c>
      <c r="D21" s="176" t="s">
        <v>146</v>
      </c>
      <c r="E21" s="175" t="s">
        <v>50</v>
      </c>
      <c r="F21" s="179"/>
    </row>
    <row r="22" spans="1:6" x14ac:dyDescent="0.2">
      <c r="A22" s="162">
        <v>42423</v>
      </c>
      <c r="B22" s="150">
        <f>22.09*1.15</f>
        <v>25.403499999999998</v>
      </c>
      <c r="C22" s="177" t="s">
        <v>85</v>
      </c>
      <c r="D22" s="176" t="s">
        <v>146</v>
      </c>
      <c r="E22" s="175" t="s">
        <v>50</v>
      </c>
    </row>
    <row r="23" spans="1:6" x14ac:dyDescent="0.2">
      <c r="A23" s="162">
        <v>42425</v>
      </c>
      <c r="B23" s="150">
        <f>19.04*1.15</f>
        <v>21.895999999999997</v>
      </c>
      <c r="C23" s="177" t="s">
        <v>85</v>
      </c>
      <c r="D23" s="176" t="s">
        <v>146</v>
      </c>
      <c r="E23" s="175" t="s">
        <v>50</v>
      </c>
    </row>
    <row r="25" spans="1:6" s="169" customFormat="1" ht="31.5" x14ac:dyDescent="0.25">
      <c r="A25" s="24" t="s">
        <v>13</v>
      </c>
      <c r="B25" s="97" t="s">
        <v>14</v>
      </c>
      <c r="C25" s="6"/>
      <c r="D25" s="6"/>
      <c r="E25" s="25"/>
      <c r="F25" s="149"/>
    </row>
    <row r="26" spans="1:6" s="169" customFormat="1" x14ac:dyDescent="0.2">
      <c r="A26" s="101" t="s">
        <v>4</v>
      </c>
      <c r="B26" s="93" t="s">
        <v>5</v>
      </c>
      <c r="C26" s="5"/>
      <c r="D26" s="3"/>
      <c r="E26" s="18"/>
      <c r="F26" s="119"/>
    </row>
    <row r="27" spans="1:6" x14ac:dyDescent="0.2">
      <c r="A27" s="208" t="s">
        <v>53</v>
      </c>
      <c r="B27" s="155">
        <v>86</v>
      </c>
      <c r="C27" s="203" t="s">
        <v>47</v>
      </c>
      <c r="D27" s="156" t="s">
        <v>54</v>
      </c>
      <c r="E27" s="206" t="s">
        <v>34</v>
      </c>
    </row>
    <row r="28" spans="1:6" x14ac:dyDescent="0.2">
      <c r="A28" s="212"/>
      <c r="B28" s="153">
        <v>95.02</v>
      </c>
      <c r="C28" s="205"/>
      <c r="D28" s="137" t="s">
        <v>40</v>
      </c>
      <c r="E28" s="207"/>
    </row>
    <row r="29" spans="1:6" x14ac:dyDescent="0.2">
      <c r="A29" s="208">
        <v>42167</v>
      </c>
      <c r="B29" s="155">
        <v>22.58</v>
      </c>
      <c r="C29" s="203" t="s">
        <v>57</v>
      </c>
      <c r="D29" s="147" t="s">
        <v>98</v>
      </c>
      <c r="E29" s="206" t="s">
        <v>34</v>
      </c>
    </row>
    <row r="30" spans="1:6" x14ac:dyDescent="0.2">
      <c r="A30" s="212"/>
      <c r="B30" s="153">
        <v>24.3</v>
      </c>
      <c r="C30" s="205"/>
      <c r="D30" s="146" t="s">
        <v>99</v>
      </c>
      <c r="E30" s="207"/>
    </row>
    <row r="31" spans="1:6" x14ac:dyDescent="0.2">
      <c r="A31" s="208">
        <v>42187</v>
      </c>
      <c r="B31" s="155">
        <v>18.920000000000002</v>
      </c>
      <c r="C31" s="203" t="s">
        <v>60</v>
      </c>
      <c r="D31" s="147" t="s">
        <v>98</v>
      </c>
      <c r="E31" s="206" t="s">
        <v>34</v>
      </c>
    </row>
    <row r="32" spans="1:6" x14ac:dyDescent="0.2">
      <c r="A32" s="212"/>
      <c r="B32" s="153">
        <v>21.5</v>
      </c>
      <c r="C32" s="205"/>
      <c r="D32" s="146" t="s">
        <v>99</v>
      </c>
      <c r="E32" s="207"/>
    </row>
    <row r="33" spans="1:5" x14ac:dyDescent="0.2">
      <c r="A33" s="174">
        <v>42222</v>
      </c>
      <c r="B33" s="150">
        <v>18.920000000000002</v>
      </c>
      <c r="C33" s="177" t="s">
        <v>78</v>
      </c>
      <c r="D33" s="176" t="s">
        <v>99</v>
      </c>
      <c r="E33" s="175" t="s">
        <v>34</v>
      </c>
    </row>
    <row r="34" spans="1:5" x14ac:dyDescent="0.2">
      <c r="A34" s="208" t="s">
        <v>100</v>
      </c>
      <c r="B34" s="155">
        <v>98.69</v>
      </c>
      <c r="C34" s="203" t="s">
        <v>56</v>
      </c>
      <c r="D34" s="156" t="s">
        <v>54</v>
      </c>
      <c r="E34" s="206" t="s">
        <v>34</v>
      </c>
    </row>
    <row r="35" spans="1:5" x14ac:dyDescent="0.2">
      <c r="A35" s="212"/>
      <c r="B35" s="153">
        <v>98.26</v>
      </c>
      <c r="C35" s="205"/>
      <c r="D35" s="137" t="s">
        <v>40</v>
      </c>
      <c r="E35" s="207"/>
    </row>
    <row r="36" spans="1:5" x14ac:dyDescent="0.2">
      <c r="A36" s="174">
        <v>42247</v>
      </c>
      <c r="B36" s="150">
        <v>14.83</v>
      </c>
      <c r="C36" s="177" t="s">
        <v>57</v>
      </c>
      <c r="D36" s="176" t="s">
        <v>98</v>
      </c>
      <c r="E36" s="175" t="s">
        <v>34</v>
      </c>
    </row>
    <row r="37" spans="1:5" x14ac:dyDescent="0.2">
      <c r="A37" s="208">
        <v>42248</v>
      </c>
      <c r="B37" s="155">
        <v>322.83</v>
      </c>
      <c r="C37" s="203" t="s">
        <v>87</v>
      </c>
      <c r="D37" s="156" t="s">
        <v>51</v>
      </c>
      <c r="E37" s="175" t="s">
        <v>50</v>
      </c>
    </row>
    <row r="38" spans="1:5" ht="12.75" customHeight="1" x14ac:dyDescent="0.2">
      <c r="A38" s="211"/>
      <c r="B38" s="154">
        <v>87.94</v>
      </c>
      <c r="C38" s="204"/>
      <c r="D38" s="163" t="s">
        <v>54</v>
      </c>
      <c r="E38" s="206" t="s">
        <v>34</v>
      </c>
    </row>
    <row r="39" spans="1:5" ht="12.75" customHeight="1" x14ac:dyDescent="0.2">
      <c r="A39" s="212"/>
      <c r="B39" s="153">
        <v>102.97</v>
      </c>
      <c r="C39" s="205"/>
      <c r="D39" s="146" t="s">
        <v>40</v>
      </c>
      <c r="E39" s="207"/>
    </row>
    <row r="40" spans="1:5" ht="12.75" customHeight="1" x14ac:dyDescent="0.2">
      <c r="A40" s="218" t="s">
        <v>66</v>
      </c>
      <c r="B40" s="155">
        <f>381.03+111.29</f>
        <v>492.32</v>
      </c>
      <c r="C40" s="203" t="s">
        <v>58</v>
      </c>
      <c r="D40" s="156" t="s">
        <v>41</v>
      </c>
      <c r="E40" s="206" t="s">
        <v>42</v>
      </c>
    </row>
    <row r="41" spans="1:5" x14ac:dyDescent="0.2">
      <c r="A41" s="219"/>
      <c r="B41" s="154">
        <v>403.5</v>
      </c>
      <c r="C41" s="204"/>
      <c r="D41" s="164" t="s">
        <v>39</v>
      </c>
      <c r="E41" s="213"/>
    </row>
    <row r="42" spans="1:5" x14ac:dyDescent="0.2">
      <c r="A42" s="220"/>
      <c r="B42" s="153">
        <v>167.35</v>
      </c>
      <c r="C42" s="204"/>
      <c r="D42" s="164" t="s">
        <v>63</v>
      </c>
      <c r="E42" s="207"/>
    </row>
    <row r="43" spans="1:5" x14ac:dyDescent="0.2">
      <c r="A43" s="174">
        <v>42251</v>
      </c>
      <c r="B43" s="150">
        <v>53.54</v>
      </c>
      <c r="C43" s="205"/>
      <c r="D43" s="137" t="s">
        <v>74</v>
      </c>
      <c r="E43" s="175" t="s">
        <v>34</v>
      </c>
    </row>
    <row r="44" spans="1:5" x14ac:dyDescent="0.2">
      <c r="A44" s="174">
        <v>42263</v>
      </c>
      <c r="B44" s="150">
        <v>62.35</v>
      </c>
      <c r="C44" s="177" t="s">
        <v>57</v>
      </c>
      <c r="D44" s="176" t="s">
        <v>75</v>
      </c>
      <c r="E44" s="175" t="s">
        <v>34</v>
      </c>
    </row>
    <row r="45" spans="1:5" ht="12.75" customHeight="1" x14ac:dyDescent="0.2">
      <c r="A45" s="208">
        <v>42265</v>
      </c>
      <c r="B45" s="155">
        <v>598.15</v>
      </c>
      <c r="C45" s="203" t="s">
        <v>67</v>
      </c>
      <c r="D45" s="156" t="s">
        <v>62</v>
      </c>
      <c r="E45" s="206" t="s">
        <v>34</v>
      </c>
    </row>
    <row r="46" spans="1:5" x14ac:dyDescent="0.2">
      <c r="A46" s="211"/>
      <c r="B46" s="154">
        <v>87.94</v>
      </c>
      <c r="C46" s="204"/>
      <c r="D46" s="163" t="s">
        <v>54</v>
      </c>
      <c r="E46" s="213"/>
    </row>
    <row r="47" spans="1:5" x14ac:dyDescent="0.2">
      <c r="A47" s="211"/>
      <c r="B47" s="154">
        <v>99.55</v>
      </c>
      <c r="C47" s="204"/>
      <c r="D47" s="163" t="s">
        <v>40</v>
      </c>
      <c r="E47" s="207"/>
    </row>
    <row r="48" spans="1:5" x14ac:dyDescent="0.2">
      <c r="A48" s="211"/>
      <c r="B48" s="154">
        <v>27.5</v>
      </c>
      <c r="C48" s="204"/>
      <c r="D48" s="163" t="s">
        <v>101</v>
      </c>
      <c r="E48" s="206" t="s">
        <v>61</v>
      </c>
    </row>
    <row r="49" spans="1:6" s="169" customFormat="1" x14ac:dyDescent="0.2">
      <c r="A49" s="211"/>
      <c r="B49" s="154">
        <v>72.819999999999993</v>
      </c>
      <c r="C49" s="204"/>
      <c r="D49" s="165" t="s">
        <v>102</v>
      </c>
      <c r="E49" s="213"/>
      <c r="F49" s="170"/>
    </row>
    <row r="50" spans="1:6" s="169" customFormat="1" x14ac:dyDescent="0.2">
      <c r="A50" s="214">
        <v>42292</v>
      </c>
      <c r="B50" s="155">
        <v>14.83</v>
      </c>
      <c r="C50" s="216" t="s">
        <v>57</v>
      </c>
      <c r="D50" s="166" t="s">
        <v>98</v>
      </c>
      <c r="E50" s="206" t="s">
        <v>34</v>
      </c>
      <c r="F50" s="170"/>
    </row>
    <row r="51" spans="1:6" s="169" customFormat="1" x14ac:dyDescent="0.2">
      <c r="A51" s="215"/>
      <c r="B51" s="153">
        <v>13.55</v>
      </c>
      <c r="C51" s="217"/>
      <c r="D51" s="167" t="s">
        <v>99</v>
      </c>
      <c r="E51" s="207"/>
      <c r="F51" s="170"/>
    </row>
    <row r="52" spans="1:6" ht="12.75" customHeight="1" x14ac:dyDescent="0.2">
      <c r="A52" s="208">
        <v>42305</v>
      </c>
      <c r="B52" s="155">
        <f>505.99*1.15</f>
        <v>581.88850000000002</v>
      </c>
      <c r="C52" s="203" t="s">
        <v>76</v>
      </c>
      <c r="D52" s="156" t="s">
        <v>70</v>
      </c>
      <c r="E52" s="206" t="s">
        <v>72</v>
      </c>
    </row>
    <row r="53" spans="1:6" s="169" customFormat="1" x14ac:dyDescent="0.2">
      <c r="A53" s="211"/>
      <c r="B53" s="154">
        <v>27.06</v>
      </c>
      <c r="C53" s="204"/>
      <c r="D53" s="165" t="s">
        <v>102</v>
      </c>
      <c r="E53" s="207"/>
      <c r="F53" s="170"/>
    </row>
    <row r="54" spans="1:6" s="169" customFormat="1" x14ac:dyDescent="0.2">
      <c r="A54" s="211"/>
      <c r="B54" s="154">
        <v>86</v>
      </c>
      <c r="C54" s="204"/>
      <c r="D54" s="165" t="s">
        <v>54</v>
      </c>
      <c r="E54" s="206" t="s">
        <v>34</v>
      </c>
      <c r="F54" s="170"/>
    </row>
    <row r="55" spans="1:6" s="169" customFormat="1" x14ac:dyDescent="0.2">
      <c r="A55" s="212"/>
      <c r="B55" s="154">
        <v>102.13</v>
      </c>
      <c r="C55" s="205"/>
      <c r="D55" s="167" t="s">
        <v>40</v>
      </c>
      <c r="E55" s="207"/>
      <c r="F55" s="170"/>
    </row>
    <row r="56" spans="1:6" x14ac:dyDescent="0.2">
      <c r="A56" s="208" t="s">
        <v>103</v>
      </c>
      <c r="B56" s="155">
        <f>385.33*1.15</f>
        <v>443.12949999999995</v>
      </c>
      <c r="C56" s="203" t="s">
        <v>77</v>
      </c>
      <c r="D56" s="156" t="s">
        <v>71</v>
      </c>
      <c r="E56" s="206" t="s">
        <v>73</v>
      </c>
    </row>
    <row r="57" spans="1:6" x14ac:dyDescent="0.2">
      <c r="A57" s="211"/>
      <c r="B57" s="154">
        <f>195.93*1.15</f>
        <v>225.31949999999998</v>
      </c>
      <c r="C57" s="204"/>
      <c r="D57" s="164" t="s">
        <v>39</v>
      </c>
      <c r="E57" s="207"/>
    </row>
    <row r="58" spans="1:6" x14ac:dyDescent="0.2">
      <c r="A58" s="212"/>
      <c r="B58" s="153">
        <v>50</v>
      </c>
      <c r="C58" s="205"/>
      <c r="D58" s="137" t="s">
        <v>129</v>
      </c>
      <c r="E58" s="175" t="s">
        <v>34</v>
      </c>
    </row>
    <row r="59" spans="1:6" x14ac:dyDescent="0.2">
      <c r="A59" s="208" t="s">
        <v>104</v>
      </c>
      <c r="B59" s="155">
        <v>381.04</v>
      </c>
      <c r="C59" s="203" t="s">
        <v>59</v>
      </c>
      <c r="D59" s="156" t="s">
        <v>51</v>
      </c>
      <c r="E59" s="206" t="s">
        <v>50</v>
      </c>
    </row>
    <row r="60" spans="1:6" ht="12.75" customHeight="1" x14ac:dyDescent="0.2">
      <c r="A60" s="212"/>
      <c r="B60" s="153">
        <v>12.54</v>
      </c>
      <c r="C60" s="205"/>
      <c r="D60" s="137" t="s">
        <v>105</v>
      </c>
      <c r="E60" s="207"/>
    </row>
    <row r="61" spans="1:6" x14ac:dyDescent="0.2">
      <c r="A61" s="208">
        <v>42326</v>
      </c>
      <c r="B61" s="155">
        <v>36.119999999999997</v>
      </c>
      <c r="C61" s="203" t="s">
        <v>57</v>
      </c>
      <c r="D61" s="156" t="s">
        <v>98</v>
      </c>
      <c r="E61" s="206" t="s">
        <v>34</v>
      </c>
    </row>
    <row r="62" spans="1:6" ht="12.75" customHeight="1" x14ac:dyDescent="0.2">
      <c r="A62" s="212"/>
      <c r="B62" s="153">
        <v>30.96</v>
      </c>
      <c r="C62" s="205"/>
      <c r="D62" s="137" t="s">
        <v>99</v>
      </c>
      <c r="E62" s="207"/>
    </row>
    <row r="63" spans="1:6" ht="12.75" customHeight="1" x14ac:dyDescent="0.2">
      <c r="A63" s="174">
        <v>42331</v>
      </c>
      <c r="B63" s="150">
        <f>37.7*1.15</f>
        <v>43.354999999999997</v>
      </c>
      <c r="C63" s="177" t="s">
        <v>83</v>
      </c>
      <c r="D63" s="176" t="s">
        <v>106</v>
      </c>
      <c r="E63" s="175" t="s">
        <v>50</v>
      </c>
    </row>
    <row r="64" spans="1:6" x14ac:dyDescent="0.2">
      <c r="A64" s="208">
        <v>42341</v>
      </c>
      <c r="B64" s="155">
        <f>471.82*1.15</f>
        <v>542.59299999999996</v>
      </c>
      <c r="C64" s="203" t="s">
        <v>107</v>
      </c>
      <c r="D64" s="156" t="s">
        <v>51</v>
      </c>
      <c r="E64" s="175" t="s">
        <v>50</v>
      </c>
    </row>
    <row r="65" spans="1:6" ht="12.75" customHeight="1" x14ac:dyDescent="0.2">
      <c r="A65" s="211"/>
      <c r="B65" s="154">
        <f>86.8/204*219.3</f>
        <v>93.31</v>
      </c>
      <c r="C65" s="204"/>
      <c r="D65" s="164" t="s">
        <v>54</v>
      </c>
      <c r="E65" s="206" t="s">
        <v>34</v>
      </c>
    </row>
    <row r="66" spans="1:6" ht="12.75" customHeight="1" x14ac:dyDescent="0.2">
      <c r="A66" s="212"/>
      <c r="B66" s="153">
        <f>92.8/204*219.3</f>
        <v>99.76</v>
      </c>
      <c r="C66" s="205"/>
      <c r="D66" s="137" t="s">
        <v>40</v>
      </c>
      <c r="E66" s="207"/>
    </row>
    <row r="67" spans="1:6" ht="12.75" customHeight="1" x14ac:dyDescent="0.2">
      <c r="A67" s="174">
        <v>42346</v>
      </c>
      <c r="B67" s="150">
        <f>24.4/204*219.3</f>
        <v>26.23</v>
      </c>
      <c r="C67" s="177" t="s">
        <v>57</v>
      </c>
      <c r="D67" s="176" t="s">
        <v>99</v>
      </c>
      <c r="E67" s="175" t="s">
        <v>34</v>
      </c>
    </row>
    <row r="68" spans="1:6" x14ac:dyDescent="0.2">
      <c r="A68" s="208" t="s">
        <v>113</v>
      </c>
      <c r="B68" s="150">
        <f>(30+826.78)*1.15</f>
        <v>985.29699999999991</v>
      </c>
      <c r="C68" s="203" t="s">
        <v>88</v>
      </c>
      <c r="D68" s="176" t="s">
        <v>89</v>
      </c>
      <c r="E68" s="206" t="s">
        <v>90</v>
      </c>
      <c r="F68" s="179"/>
    </row>
    <row r="69" spans="1:6" x14ac:dyDescent="0.2">
      <c r="A69" s="211"/>
      <c r="B69" s="150">
        <f>472.52*1.15</f>
        <v>543.39799999999991</v>
      </c>
      <c r="C69" s="204"/>
      <c r="D69" s="176" t="s">
        <v>130</v>
      </c>
      <c r="E69" s="213"/>
    </row>
    <row r="70" spans="1:6" x14ac:dyDescent="0.2">
      <c r="A70" s="212"/>
      <c r="B70" s="150">
        <f>183.7*1.15</f>
        <v>211.25499999999997</v>
      </c>
      <c r="C70" s="205"/>
      <c r="D70" s="176" t="s">
        <v>131</v>
      </c>
      <c r="E70" s="207"/>
    </row>
    <row r="71" spans="1:6" x14ac:dyDescent="0.2">
      <c r="A71" s="208">
        <v>42412</v>
      </c>
      <c r="B71" s="150">
        <f>578.46*1.15</f>
        <v>665.22900000000004</v>
      </c>
      <c r="C71" s="203" t="s">
        <v>108</v>
      </c>
      <c r="D71" s="176" t="s">
        <v>109</v>
      </c>
      <c r="E71" s="206" t="s">
        <v>93</v>
      </c>
    </row>
    <row r="72" spans="1:6" x14ac:dyDescent="0.2">
      <c r="A72" s="211"/>
      <c r="B72" s="150">
        <f>122.89*1.15</f>
        <v>141.3235</v>
      </c>
      <c r="C72" s="204"/>
      <c r="D72" s="176" t="s">
        <v>130</v>
      </c>
      <c r="E72" s="213"/>
    </row>
    <row r="73" spans="1:6" x14ac:dyDescent="0.2">
      <c r="A73" s="212"/>
      <c r="B73" s="150">
        <f>224.62*1.15</f>
        <v>258.31299999999999</v>
      </c>
      <c r="C73" s="205"/>
      <c r="D73" s="176" t="s">
        <v>131</v>
      </c>
      <c r="E73" s="207"/>
    </row>
    <row r="74" spans="1:6" x14ac:dyDescent="0.2">
      <c r="A74" s="208">
        <v>42421</v>
      </c>
      <c r="B74" s="150">
        <f>160.95*1.15</f>
        <v>185.09249999999997</v>
      </c>
      <c r="C74" s="203" t="s">
        <v>85</v>
      </c>
      <c r="D74" s="176" t="s">
        <v>95</v>
      </c>
      <c r="E74" s="206" t="s">
        <v>50</v>
      </c>
    </row>
    <row r="75" spans="1:6" ht="25.5" x14ac:dyDescent="0.2">
      <c r="A75" s="211"/>
      <c r="B75" s="150">
        <f>504.72*1.15</f>
        <v>580.428</v>
      </c>
      <c r="C75" s="204"/>
      <c r="D75" s="176" t="s">
        <v>145</v>
      </c>
      <c r="E75" s="213"/>
    </row>
    <row r="76" spans="1:6" x14ac:dyDescent="0.2">
      <c r="A76" s="212"/>
      <c r="B76" s="150">
        <f>52.42*1.15</f>
        <v>60.282999999999994</v>
      </c>
      <c r="C76" s="205"/>
      <c r="D76" s="176" t="s">
        <v>110</v>
      </c>
      <c r="E76" s="207"/>
    </row>
    <row r="77" spans="1:6" x14ac:dyDescent="0.2">
      <c r="A77" s="208">
        <v>42422</v>
      </c>
      <c r="B77" s="150">
        <f>167.85*1.15</f>
        <v>193.02749999999997</v>
      </c>
      <c r="C77" s="203" t="s">
        <v>85</v>
      </c>
      <c r="D77" s="176" t="s">
        <v>94</v>
      </c>
      <c r="E77" s="175" t="s">
        <v>34</v>
      </c>
    </row>
    <row r="78" spans="1:6" x14ac:dyDescent="0.2">
      <c r="A78" s="211"/>
      <c r="B78" s="150">
        <f>50.6*1.15</f>
        <v>58.19</v>
      </c>
      <c r="C78" s="204"/>
      <c r="D78" s="176" t="s">
        <v>111</v>
      </c>
      <c r="E78" s="175" t="s">
        <v>50</v>
      </c>
    </row>
    <row r="79" spans="1:6" x14ac:dyDescent="0.2">
      <c r="A79" s="212"/>
      <c r="B79" s="150">
        <f>100/476.4*512.13</f>
        <v>107.5</v>
      </c>
      <c r="C79" s="205"/>
      <c r="D79" s="176" t="s">
        <v>40</v>
      </c>
      <c r="E79" s="175" t="s">
        <v>34</v>
      </c>
    </row>
    <row r="80" spans="1:6" x14ac:dyDescent="0.2">
      <c r="A80" s="208" t="s">
        <v>112</v>
      </c>
      <c r="B80" s="150">
        <f>294.72*1.15</f>
        <v>338.928</v>
      </c>
      <c r="C80" s="203" t="s">
        <v>85</v>
      </c>
      <c r="D80" s="176" t="s">
        <v>96</v>
      </c>
      <c r="E80" s="206" t="s">
        <v>50</v>
      </c>
    </row>
    <row r="81" spans="1:5" x14ac:dyDescent="0.2">
      <c r="A81" s="211"/>
      <c r="B81" s="150">
        <f>453.91*1.15</f>
        <v>521.99649999999997</v>
      </c>
      <c r="C81" s="204"/>
      <c r="D81" s="176" t="s">
        <v>39</v>
      </c>
      <c r="E81" s="207"/>
    </row>
    <row r="82" spans="1:5" x14ac:dyDescent="0.2">
      <c r="A82" s="211"/>
      <c r="B82" s="150">
        <f>84/476.4*512.13</f>
        <v>90.3</v>
      </c>
      <c r="C82" s="204"/>
      <c r="D82" s="176" t="s">
        <v>54</v>
      </c>
      <c r="E82" s="175" t="s">
        <v>34</v>
      </c>
    </row>
    <row r="83" spans="1:5" x14ac:dyDescent="0.2">
      <c r="A83" s="211"/>
      <c r="B83" s="150">
        <f>74.2/476.4*512.13</f>
        <v>79.765000000000001</v>
      </c>
      <c r="C83" s="204"/>
      <c r="D83" s="176" t="s">
        <v>91</v>
      </c>
      <c r="E83" s="206" t="s">
        <v>50</v>
      </c>
    </row>
    <row r="84" spans="1:5" x14ac:dyDescent="0.2">
      <c r="A84" s="211"/>
      <c r="B84" s="150">
        <f>307.42*1.15</f>
        <v>353.53300000000002</v>
      </c>
      <c r="C84" s="204"/>
      <c r="D84" s="176" t="s">
        <v>94</v>
      </c>
      <c r="E84" s="213"/>
    </row>
    <row r="85" spans="1:5" x14ac:dyDescent="0.2">
      <c r="A85" s="211"/>
      <c r="B85" s="150">
        <f>49/476.4*512.13</f>
        <v>52.675000000000004</v>
      </c>
      <c r="C85" s="204"/>
      <c r="D85" s="176" t="s">
        <v>92</v>
      </c>
      <c r="E85" s="207"/>
    </row>
    <row r="86" spans="1:5" x14ac:dyDescent="0.2">
      <c r="A86" s="212"/>
      <c r="B86" s="150">
        <f>84.2/476.4*512.13</f>
        <v>90.515000000000001</v>
      </c>
      <c r="C86" s="205"/>
      <c r="D86" s="176" t="s">
        <v>40</v>
      </c>
      <c r="E86" s="175" t="s">
        <v>34</v>
      </c>
    </row>
    <row r="87" spans="1:5" x14ac:dyDescent="0.2">
      <c r="A87" s="181">
        <v>42426</v>
      </c>
      <c r="B87" s="150">
        <f>12.5*1.15</f>
        <v>14.374999999999998</v>
      </c>
      <c r="C87" s="177" t="s">
        <v>108</v>
      </c>
      <c r="D87" s="176" t="s">
        <v>127</v>
      </c>
      <c r="E87" s="175" t="s">
        <v>128</v>
      </c>
    </row>
    <row r="88" spans="1:5" x14ac:dyDescent="0.2">
      <c r="A88" s="208" t="s">
        <v>114</v>
      </c>
      <c r="B88" s="150">
        <f>262.38*1.15</f>
        <v>301.73699999999997</v>
      </c>
      <c r="C88" s="203" t="s">
        <v>85</v>
      </c>
      <c r="D88" s="176" t="s">
        <v>96</v>
      </c>
      <c r="E88" s="206" t="s">
        <v>50</v>
      </c>
    </row>
    <row r="89" spans="1:5" x14ac:dyDescent="0.2">
      <c r="A89" s="211"/>
      <c r="B89" s="150">
        <f>406.95*1.15</f>
        <v>467.99249999999995</v>
      </c>
      <c r="C89" s="204"/>
      <c r="D89" s="176" t="s">
        <v>39</v>
      </c>
      <c r="E89" s="207"/>
    </row>
    <row r="90" spans="1:5" x14ac:dyDescent="0.2">
      <c r="A90" s="211"/>
      <c r="B90" s="150">
        <f>85/476.4*512.13</f>
        <v>91.375000000000014</v>
      </c>
      <c r="C90" s="204"/>
      <c r="D90" s="176" t="s">
        <v>54</v>
      </c>
      <c r="E90" s="175" t="s">
        <v>34</v>
      </c>
    </row>
    <row r="91" spans="1:5" x14ac:dyDescent="0.2">
      <c r="A91" s="211"/>
      <c r="B91" s="150">
        <f>258.91*1.15</f>
        <v>297.74650000000003</v>
      </c>
      <c r="C91" s="204"/>
      <c r="D91" s="176" t="s">
        <v>94</v>
      </c>
      <c r="E91" s="206" t="s">
        <v>50</v>
      </c>
    </row>
    <row r="92" spans="1:5" x14ac:dyDescent="0.2">
      <c r="A92" s="211"/>
      <c r="B92" s="150">
        <f>56/717.4*771.21</f>
        <v>60.200390298299418</v>
      </c>
      <c r="C92" s="204"/>
      <c r="D92" s="176" t="s">
        <v>115</v>
      </c>
      <c r="E92" s="207"/>
    </row>
    <row r="93" spans="1:5" x14ac:dyDescent="0.2">
      <c r="A93" s="212"/>
      <c r="B93" s="150">
        <f>93.8/717.4*771.21</f>
        <v>100.83565374965153</v>
      </c>
      <c r="C93" s="205"/>
      <c r="D93" s="176" t="s">
        <v>40</v>
      </c>
      <c r="E93" s="175" t="s">
        <v>34</v>
      </c>
    </row>
    <row r="94" spans="1:5" x14ac:dyDescent="0.2">
      <c r="A94" s="208" t="s">
        <v>116</v>
      </c>
      <c r="B94" s="150">
        <f>440.89*1.15</f>
        <v>507.02349999999996</v>
      </c>
      <c r="C94" s="203" t="s">
        <v>85</v>
      </c>
      <c r="D94" s="176" t="s">
        <v>51</v>
      </c>
      <c r="E94" s="175" t="s">
        <v>50</v>
      </c>
    </row>
    <row r="95" spans="1:5" x14ac:dyDescent="0.2">
      <c r="A95" s="211"/>
      <c r="B95" s="150">
        <f>89.4/717.4*771.21</f>
        <v>96.105623083356576</v>
      </c>
      <c r="C95" s="204"/>
      <c r="D95" s="176" t="s">
        <v>54</v>
      </c>
      <c r="E95" s="175" t="s">
        <v>34</v>
      </c>
    </row>
    <row r="96" spans="1:5" x14ac:dyDescent="0.2">
      <c r="A96" s="211"/>
      <c r="B96" s="150">
        <f>47.4/717.4*771.21</f>
        <v>50.955330359632008</v>
      </c>
      <c r="C96" s="204"/>
      <c r="D96" s="176" t="s">
        <v>110</v>
      </c>
      <c r="E96" s="175" t="s">
        <v>50</v>
      </c>
    </row>
    <row r="97" spans="1:5" x14ac:dyDescent="0.2">
      <c r="A97" s="211"/>
      <c r="B97" s="150">
        <f>86.4/717.4*771.21</f>
        <v>92.880602174519112</v>
      </c>
      <c r="C97" s="204"/>
      <c r="D97" s="176" t="s">
        <v>40</v>
      </c>
      <c r="E97" s="175" t="s">
        <v>34</v>
      </c>
    </row>
    <row r="98" spans="1:5" x14ac:dyDescent="0.2">
      <c r="A98" s="211"/>
      <c r="B98" s="150">
        <f>291.25*1.15</f>
        <v>334.9375</v>
      </c>
      <c r="C98" s="204"/>
      <c r="D98" s="176" t="s">
        <v>96</v>
      </c>
      <c r="E98" s="175" t="s">
        <v>50</v>
      </c>
    </row>
    <row r="99" spans="1:5" x14ac:dyDescent="0.2">
      <c r="A99" s="211"/>
      <c r="B99" s="150">
        <f>386.05*1.15</f>
        <v>443.95749999999998</v>
      </c>
      <c r="C99" s="204"/>
      <c r="D99" s="176" t="s">
        <v>39</v>
      </c>
      <c r="E99" s="175" t="s">
        <v>50</v>
      </c>
    </row>
    <row r="100" spans="1:5" x14ac:dyDescent="0.2">
      <c r="A100" s="211"/>
      <c r="B100" s="150">
        <f>10.53*1.15</f>
        <v>12.109499999999999</v>
      </c>
      <c r="C100" s="204"/>
      <c r="D100" s="176" t="s">
        <v>117</v>
      </c>
      <c r="E100" s="175" t="s">
        <v>50</v>
      </c>
    </row>
    <row r="101" spans="1:5" x14ac:dyDescent="0.2">
      <c r="A101" s="211"/>
      <c r="B101" s="150">
        <f>49.8/717.4*771.21</f>
        <v>53.535347086701982</v>
      </c>
      <c r="C101" s="204"/>
      <c r="D101" s="176" t="s">
        <v>110</v>
      </c>
      <c r="E101" s="175" t="s">
        <v>50</v>
      </c>
    </row>
    <row r="102" spans="1:5" x14ac:dyDescent="0.2">
      <c r="A102" s="212"/>
      <c r="B102" s="150">
        <f>291.25*1.15</f>
        <v>334.9375</v>
      </c>
      <c r="C102" s="205"/>
      <c r="D102" s="176" t="s">
        <v>94</v>
      </c>
      <c r="E102" s="175" t="s">
        <v>34</v>
      </c>
    </row>
    <row r="103" spans="1:5" ht="25.5" x14ac:dyDescent="0.2">
      <c r="A103" s="181">
        <v>42445</v>
      </c>
      <c r="B103" s="150">
        <f>(297.6*1.15)-337.08</f>
        <v>5.160000000000025</v>
      </c>
      <c r="C103" s="177"/>
      <c r="D103" s="176" t="s">
        <v>136</v>
      </c>
      <c r="E103" s="175" t="s">
        <v>34</v>
      </c>
    </row>
    <row r="104" spans="1:5" x14ac:dyDescent="0.2">
      <c r="A104" s="208">
        <v>42446</v>
      </c>
      <c r="B104" s="150">
        <f>93.95*1.15</f>
        <v>108.04249999999999</v>
      </c>
      <c r="C104" s="203" t="s">
        <v>118</v>
      </c>
      <c r="D104" s="176" t="s">
        <v>62</v>
      </c>
      <c r="E104" s="175" t="s">
        <v>61</v>
      </c>
    </row>
    <row r="105" spans="1:5" x14ac:dyDescent="0.2">
      <c r="A105" s="211"/>
      <c r="B105" s="150">
        <f>78.6/717.4*771.21</f>
        <v>84.49554781154167</v>
      </c>
      <c r="C105" s="204"/>
      <c r="D105" s="176" t="s">
        <v>54</v>
      </c>
      <c r="E105" s="175" t="s">
        <v>34</v>
      </c>
    </row>
    <row r="106" spans="1:5" x14ac:dyDescent="0.2">
      <c r="A106" s="211"/>
      <c r="B106" s="150">
        <f>74.6/717.4*771.21</f>
        <v>80.195519933091717</v>
      </c>
      <c r="C106" s="204"/>
      <c r="D106" s="176" t="s">
        <v>105</v>
      </c>
      <c r="E106" s="206" t="s">
        <v>61</v>
      </c>
    </row>
    <row r="107" spans="1:5" x14ac:dyDescent="0.2">
      <c r="A107" s="211"/>
      <c r="B107" s="150">
        <f>52/717.4*771.21</f>
        <v>55.900362419849465</v>
      </c>
      <c r="C107" s="204"/>
      <c r="D107" s="176" t="s">
        <v>119</v>
      </c>
      <c r="E107" s="207"/>
    </row>
    <row r="108" spans="1:5" x14ac:dyDescent="0.2">
      <c r="A108" s="212"/>
      <c r="B108" s="150">
        <f>89.4/717.4*771.21</f>
        <v>96.105623083356576</v>
      </c>
      <c r="C108" s="205"/>
      <c r="D108" s="176" t="s">
        <v>40</v>
      </c>
      <c r="E108" s="175" t="s">
        <v>34</v>
      </c>
    </row>
    <row r="109" spans="1:5" x14ac:dyDescent="0.2">
      <c r="A109" s="208">
        <v>42489</v>
      </c>
      <c r="B109" s="150">
        <f>(318.84+12.5)*1.15</f>
        <v>381.04099999999994</v>
      </c>
      <c r="C109" s="203" t="s">
        <v>108</v>
      </c>
      <c r="D109" s="176" t="s">
        <v>62</v>
      </c>
      <c r="E109" s="175" t="s">
        <v>61</v>
      </c>
    </row>
    <row r="110" spans="1:5" x14ac:dyDescent="0.2">
      <c r="A110" s="209"/>
      <c r="B110" s="150">
        <f>83/258.6*278</f>
        <v>89.226604795050264</v>
      </c>
      <c r="C110" s="204"/>
      <c r="D110" s="176" t="s">
        <v>54</v>
      </c>
      <c r="E110" s="175" t="s">
        <v>34</v>
      </c>
    </row>
    <row r="111" spans="1:5" x14ac:dyDescent="0.2">
      <c r="A111" s="209"/>
      <c r="B111" s="150">
        <f>85.6/258.6*278</f>
        <v>92.021655065738585</v>
      </c>
      <c r="C111" s="204"/>
      <c r="D111" s="176" t="s">
        <v>110</v>
      </c>
      <c r="E111" s="175" t="s">
        <v>61</v>
      </c>
    </row>
    <row r="112" spans="1:5" x14ac:dyDescent="0.2">
      <c r="A112" s="210"/>
      <c r="B112" s="150">
        <f>90/258.6*278</f>
        <v>96.751740139211122</v>
      </c>
      <c r="C112" s="205"/>
      <c r="D112" s="176" t="s">
        <v>40</v>
      </c>
      <c r="E112" s="175" t="s">
        <v>34</v>
      </c>
    </row>
    <row r="113" spans="1:8" x14ac:dyDescent="0.2">
      <c r="A113" s="208">
        <v>42495</v>
      </c>
      <c r="B113" s="150">
        <f>(268.23+12.5)*1.15</f>
        <v>322.83949999999999</v>
      </c>
      <c r="C113" s="203" t="s">
        <v>47</v>
      </c>
      <c r="D113" s="176" t="s">
        <v>51</v>
      </c>
      <c r="E113" s="175" t="s">
        <v>50</v>
      </c>
    </row>
    <row r="114" spans="1:8" s="178" customFormat="1" x14ac:dyDescent="0.2">
      <c r="A114" s="211"/>
      <c r="B114" s="150">
        <f>80.4/641.8*689.94</f>
        <v>86.430626363353099</v>
      </c>
      <c r="C114" s="204"/>
      <c r="D114" s="176" t="s">
        <v>54</v>
      </c>
      <c r="E114" s="180" t="s">
        <v>34</v>
      </c>
      <c r="F114" s="170"/>
      <c r="G114" s="194"/>
      <c r="H114" s="194"/>
    </row>
    <row r="115" spans="1:8" s="178" customFormat="1" x14ac:dyDescent="0.2">
      <c r="A115" s="211"/>
      <c r="B115" s="150">
        <f>37.2/641.8*689.94</f>
        <v>39.99028980990964</v>
      </c>
      <c r="C115" s="204"/>
      <c r="D115" s="176" t="s">
        <v>140</v>
      </c>
      <c r="E115" s="180" t="s">
        <v>50</v>
      </c>
      <c r="F115" s="170"/>
      <c r="G115" s="194"/>
      <c r="H115" s="194"/>
    </row>
    <row r="116" spans="1:8" s="178" customFormat="1" x14ac:dyDescent="0.2">
      <c r="A116" s="212"/>
      <c r="B116" s="150">
        <f>85.8/641.8*689.94</f>
        <v>92.235668432533501</v>
      </c>
      <c r="C116" s="204"/>
      <c r="D116" s="176" t="s">
        <v>40</v>
      </c>
      <c r="E116" s="180" t="s">
        <v>34</v>
      </c>
      <c r="F116" s="170"/>
      <c r="G116" s="194"/>
      <c r="H116" s="194"/>
    </row>
    <row r="117" spans="1:8" s="178" customFormat="1" x14ac:dyDescent="0.2">
      <c r="A117" s="208">
        <v>42507</v>
      </c>
      <c r="B117" s="188">
        <f>(209.44+12.5)*1.15</f>
        <v>255.23099999999997</v>
      </c>
      <c r="C117" s="203" t="s">
        <v>141</v>
      </c>
      <c r="D117" s="189" t="s">
        <v>96</v>
      </c>
      <c r="E117" s="206" t="s">
        <v>50</v>
      </c>
      <c r="F117" s="170"/>
      <c r="G117" s="194"/>
      <c r="H117" s="194"/>
    </row>
    <row r="118" spans="1:8" s="178" customFormat="1" x14ac:dyDescent="0.2">
      <c r="A118" s="211"/>
      <c r="B118" s="188">
        <f>246.21*1.15</f>
        <v>283.14150000000001</v>
      </c>
      <c r="C118" s="204"/>
      <c r="D118" s="189" t="s">
        <v>94</v>
      </c>
      <c r="E118" s="207"/>
      <c r="F118" s="170"/>
      <c r="G118" s="194"/>
      <c r="H118" s="194"/>
    </row>
    <row r="119" spans="1:8" s="178" customFormat="1" x14ac:dyDescent="0.2">
      <c r="A119" s="211"/>
      <c r="B119" s="188">
        <f>52.33*1.15</f>
        <v>60.17949999999999</v>
      </c>
      <c r="C119" s="204"/>
      <c r="D119" s="189" t="s">
        <v>115</v>
      </c>
      <c r="E119" s="175" t="s">
        <v>50</v>
      </c>
      <c r="F119" s="190"/>
      <c r="G119" s="194"/>
      <c r="H119" s="194"/>
    </row>
    <row r="120" spans="1:8" s="178" customFormat="1" x14ac:dyDescent="0.2">
      <c r="A120" s="211"/>
      <c r="B120" s="188">
        <f>79.6/641.8*689.94</f>
        <v>85.570620130881906</v>
      </c>
      <c r="C120" s="204"/>
      <c r="D120" s="189" t="s">
        <v>54</v>
      </c>
      <c r="E120" s="175" t="s">
        <v>34</v>
      </c>
      <c r="F120" s="170"/>
      <c r="G120" s="194"/>
      <c r="H120" s="194"/>
    </row>
    <row r="121" spans="1:8" s="178" customFormat="1" x14ac:dyDescent="0.2">
      <c r="A121" s="211"/>
      <c r="B121" s="188">
        <f>39.6/641.8*689.94</f>
        <v>42.570308507323162</v>
      </c>
      <c r="C121" s="204"/>
      <c r="D121" s="189" t="s">
        <v>126</v>
      </c>
      <c r="E121" s="175" t="s">
        <v>50</v>
      </c>
      <c r="F121" s="170"/>
      <c r="G121" s="194"/>
      <c r="H121" s="194"/>
    </row>
    <row r="122" spans="1:8" s="178" customFormat="1" x14ac:dyDescent="0.2">
      <c r="A122" s="212"/>
      <c r="B122" s="188">
        <f>94.6/641.8*689.94</f>
        <v>101.69573698971642</v>
      </c>
      <c r="C122" s="205"/>
      <c r="D122" s="189" t="s">
        <v>40</v>
      </c>
      <c r="E122" s="175" t="s">
        <v>34</v>
      </c>
      <c r="F122" s="170"/>
      <c r="G122" s="194"/>
      <c r="H122" s="194"/>
    </row>
    <row r="123" spans="1:8" s="178" customFormat="1" x14ac:dyDescent="0.2">
      <c r="A123" s="181">
        <v>42509</v>
      </c>
      <c r="B123" s="150">
        <f>17/641.8*689.94</f>
        <v>18.27513244001247</v>
      </c>
      <c r="C123" s="182" t="s">
        <v>142</v>
      </c>
      <c r="D123" s="176" t="s">
        <v>98</v>
      </c>
      <c r="E123" s="175" t="s">
        <v>34</v>
      </c>
      <c r="F123" s="170"/>
      <c r="G123" s="194"/>
      <c r="H123" s="194"/>
    </row>
    <row r="124" spans="1:8" s="178" customFormat="1" x14ac:dyDescent="0.2">
      <c r="A124" s="200" t="s">
        <v>123</v>
      </c>
      <c r="B124" s="191">
        <f>89/641.8*689.94</f>
        <v>95.675693362418215</v>
      </c>
      <c r="C124" s="203" t="s">
        <v>143</v>
      </c>
      <c r="D124" s="189" t="s">
        <v>54</v>
      </c>
      <c r="E124" s="175" t="s">
        <v>34</v>
      </c>
      <c r="F124" s="170"/>
      <c r="G124" s="194"/>
      <c r="H124" s="194"/>
    </row>
    <row r="125" spans="1:8" s="178" customFormat="1" x14ac:dyDescent="0.2">
      <c r="A125" s="201"/>
      <c r="B125" s="191">
        <f>96/641.8*689.94</f>
        <v>103.200747896541</v>
      </c>
      <c r="C125" s="204"/>
      <c r="D125" s="189" t="s">
        <v>40</v>
      </c>
      <c r="E125" s="175" t="s">
        <v>34</v>
      </c>
      <c r="F125" s="170"/>
      <c r="G125" s="194"/>
      <c r="H125" s="194"/>
    </row>
    <row r="126" spans="1:8" s="178" customFormat="1" x14ac:dyDescent="0.2">
      <c r="A126" s="201"/>
      <c r="B126" s="191">
        <f>257.92*1.15</f>
        <v>296.608</v>
      </c>
      <c r="C126" s="204"/>
      <c r="D126" s="189" t="s">
        <v>124</v>
      </c>
      <c r="E126" s="206" t="s">
        <v>93</v>
      </c>
      <c r="F126" s="170"/>
      <c r="G126" s="194"/>
      <c r="H126" s="194"/>
    </row>
    <row r="127" spans="1:8" s="178" customFormat="1" x14ac:dyDescent="0.2">
      <c r="A127" s="201"/>
      <c r="B127" s="191">
        <f>308*1.15</f>
        <v>354.2</v>
      </c>
      <c r="C127" s="204"/>
      <c r="D127" s="189" t="s">
        <v>125</v>
      </c>
      <c r="E127" s="213"/>
      <c r="F127" s="170"/>
      <c r="G127" s="194"/>
      <c r="H127" s="194"/>
    </row>
    <row r="128" spans="1:8" s="178" customFormat="1" x14ac:dyDescent="0.2">
      <c r="A128" s="202"/>
      <c r="B128" s="188">
        <f>130.42+11.5</f>
        <v>141.91999999999999</v>
      </c>
      <c r="C128" s="205"/>
      <c r="D128" s="189" t="s">
        <v>135</v>
      </c>
      <c r="E128" s="207"/>
      <c r="F128" s="170"/>
      <c r="G128" s="194"/>
      <c r="H128" s="194"/>
    </row>
    <row r="129" spans="1:8" s="178" customFormat="1" x14ac:dyDescent="0.2">
      <c r="A129" s="208" t="s">
        <v>137</v>
      </c>
      <c r="B129" s="150">
        <f>(146.62*1.15)+12.07</f>
        <v>180.68299999999999</v>
      </c>
      <c r="C129" s="203" t="s">
        <v>58</v>
      </c>
      <c r="D129" s="176" t="s">
        <v>41</v>
      </c>
      <c r="E129" s="206" t="s">
        <v>42</v>
      </c>
      <c r="F129" s="170"/>
      <c r="G129" s="194"/>
      <c r="H129" s="194"/>
    </row>
    <row r="130" spans="1:8" s="178" customFormat="1" x14ac:dyDescent="0.2">
      <c r="A130" s="211"/>
      <c r="B130" s="150">
        <v>357.99</v>
      </c>
      <c r="C130" s="204"/>
      <c r="D130" s="176" t="s">
        <v>39</v>
      </c>
      <c r="E130" s="213"/>
      <c r="F130" s="170"/>
      <c r="G130" s="194"/>
      <c r="H130" s="194"/>
    </row>
    <row r="131" spans="1:8" s="178" customFormat="1" x14ac:dyDescent="0.2">
      <c r="A131" s="212"/>
      <c r="B131" s="150">
        <v>166.83</v>
      </c>
      <c r="C131" s="205"/>
      <c r="D131" s="176" t="s">
        <v>134</v>
      </c>
      <c r="E131" s="207"/>
      <c r="F131" s="170"/>
      <c r="G131" s="194"/>
      <c r="H131" s="194"/>
    </row>
    <row r="132" spans="1:8" s="178" customFormat="1" x14ac:dyDescent="0.2">
      <c r="A132" s="208">
        <v>42534</v>
      </c>
      <c r="B132" s="150">
        <f>386.32*1.15</f>
        <v>444.26799999999997</v>
      </c>
      <c r="C132" s="203" t="s">
        <v>144</v>
      </c>
      <c r="D132" s="176" t="s">
        <v>62</v>
      </c>
      <c r="E132" s="206" t="s">
        <v>61</v>
      </c>
      <c r="F132" s="170"/>
      <c r="G132" s="194"/>
      <c r="H132" s="194"/>
    </row>
    <row r="133" spans="1:8" s="178" customFormat="1" x14ac:dyDescent="0.2">
      <c r="A133" s="212"/>
      <c r="B133" s="150">
        <v>79.8</v>
      </c>
      <c r="C133" s="205"/>
      <c r="D133" s="176" t="s">
        <v>105</v>
      </c>
      <c r="E133" s="207"/>
      <c r="F133" s="170"/>
      <c r="G133" s="194"/>
      <c r="H133" s="194"/>
    </row>
    <row r="134" spans="1:8" x14ac:dyDescent="0.2">
      <c r="A134" s="226">
        <v>42544</v>
      </c>
      <c r="B134" s="150">
        <f>(405.63+12.5)*1.15</f>
        <v>480.84949999999998</v>
      </c>
      <c r="C134" s="203" t="s">
        <v>76</v>
      </c>
      <c r="D134" s="176" t="s">
        <v>70</v>
      </c>
      <c r="E134" s="206" t="s">
        <v>72</v>
      </c>
    </row>
    <row r="135" spans="1:8" x14ac:dyDescent="0.2">
      <c r="A135" s="226"/>
      <c r="B135" s="150">
        <v>6.7</v>
      </c>
      <c r="C135" s="205"/>
      <c r="D135" s="192" t="s">
        <v>138</v>
      </c>
      <c r="E135" s="207"/>
    </row>
    <row r="136" spans="1:8" x14ac:dyDescent="0.2">
      <c r="A136" s="174">
        <v>42551</v>
      </c>
      <c r="B136" s="150">
        <v>13.7</v>
      </c>
      <c r="C136" s="193" t="s">
        <v>57</v>
      </c>
      <c r="D136" s="192" t="s">
        <v>139</v>
      </c>
      <c r="E136" s="193" t="s">
        <v>34</v>
      </c>
    </row>
    <row r="137" spans="1:8" x14ac:dyDescent="0.2">
      <c r="A137" s="186"/>
      <c r="B137" s="187"/>
      <c r="C137" s="170"/>
      <c r="D137" s="170"/>
      <c r="E137" s="170"/>
    </row>
    <row r="138" spans="1:8" x14ac:dyDescent="0.2">
      <c r="A138" s="186"/>
      <c r="B138" s="187"/>
      <c r="C138" s="170"/>
      <c r="D138" s="170"/>
      <c r="E138" s="170"/>
    </row>
    <row r="139" spans="1:8" ht="30" x14ac:dyDescent="0.2">
      <c r="A139" s="121" t="s">
        <v>44</v>
      </c>
      <c r="B139" s="122"/>
      <c r="C139" s="123"/>
      <c r="D139" s="124"/>
      <c r="E139" s="125"/>
    </row>
    <row r="140" spans="1:8" ht="13.5" thickBot="1" x14ac:dyDescent="0.25">
      <c r="A140" s="26"/>
      <c r="B140" s="114">
        <f>SUM(B6:B136)</f>
        <v>30105.29382393268</v>
      </c>
      <c r="C140" s="17"/>
      <c r="D140" s="17"/>
      <c r="E140" s="27"/>
    </row>
    <row r="141" spans="1:8" x14ac:dyDescent="0.2">
      <c r="A141" s="21"/>
      <c r="B141" s="95"/>
      <c r="C141" s="14"/>
      <c r="D141" s="14"/>
      <c r="E141" s="22"/>
    </row>
    <row r="142" spans="1:8" ht="25.5" x14ac:dyDescent="0.2">
      <c r="A142" s="21" t="s">
        <v>15</v>
      </c>
      <c r="B142" s="95"/>
      <c r="C142" s="14"/>
      <c r="D142" s="14"/>
      <c r="E142" s="22"/>
    </row>
    <row r="143" spans="1:8" x14ac:dyDescent="0.2">
      <c r="B143" s="95"/>
      <c r="C143" s="14"/>
      <c r="D143" s="14"/>
      <c r="E143" s="22"/>
    </row>
    <row r="144" spans="1:8" x14ac:dyDescent="0.2">
      <c r="A144" s="21"/>
      <c r="B144" s="95"/>
      <c r="C144" s="14"/>
      <c r="D144" s="14"/>
      <c r="E144" s="22"/>
    </row>
    <row r="145" spans="1:5" x14ac:dyDescent="0.2">
      <c r="A145" s="21"/>
      <c r="B145" s="95"/>
      <c r="C145" s="14"/>
      <c r="D145" s="14"/>
      <c r="E145" s="22"/>
    </row>
    <row r="146" spans="1:5" x14ac:dyDescent="0.2">
      <c r="A146" s="21"/>
      <c r="B146" s="95"/>
      <c r="C146" s="14"/>
      <c r="D146" s="14"/>
      <c r="E146" s="22"/>
    </row>
    <row r="147" spans="1:5" x14ac:dyDescent="0.2">
      <c r="B147" s="95"/>
      <c r="C147" s="14"/>
      <c r="D147" s="14"/>
      <c r="E147" s="22"/>
    </row>
    <row r="148" spans="1:5" x14ac:dyDescent="0.2">
      <c r="A148" s="28"/>
      <c r="B148" s="98"/>
      <c r="C148" s="1"/>
      <c r="D148" s="1"/>
      <c r="E148" s="29"/>
    </row>
    <row r="151" spans="1:5" x14ac:dyDescent="0.2">
      <c r="A151" s="115"/>
      <c r="D151" s="14"/>
    </row>
    <row r="152" spans="1:5" x14ac:dyDescent="0.2">
      <c r="A152" s="115"/>
      <c r="D152" s="14"/>
    </row>
  </sheetData>
  <sortState ref="B112:B113">
    <sortCondition ref="B112"/>
  </sortState>
  <mergeCells count="88">
    <mergeCell ref="A134:A135"/>
    <mergeCell ref="C134:C135"/>
    <mergeCell ref="E134:E135"/>
    <mergeCell ref="A132:A133"/>
    <mergeCell ref="E132:E133"/>
    <mergeCell ref="C132:C133"/>
    <mergeCell ref="A129:A131"/>
    <mergeCell ref="C129:C131"/>
    <mergeCell ref="E129:E131"/>
    <mergeCell ref="E38:E39"/>
    <mergeCell ref="A104:A108"/>
    <mergeCell ref="A68:A70"/>
    <mergeCell ref="C68:C70"/>
    <mergeCell ref="E68:E70"/>
    <mergeCell ref="A71:A73"/>
    <mergeCell ref="E71:E73"/>
    <mergeCell ref="A77:A79"/>
    <mergeCell ref="C77:C79"/>
    <mergeCell ref="A80:A86"/>
    <mergeCell ref="A56:A58"/>
    <mergeCell ref="C71:C73"/>
    <mergeCell ref="E50:E51"/>
    <mergeCell ref="C6:C7"/>
    <mergeCell ref="E34:E35"/>
    <mergeCell ref="C37:C39"/>
    <mergeCell ref="A37:A39"/>
    <mergeCell ref="A27:A28"/>
    <mergeCell ref="C27:C28"/>
    <mergeCell ref="E27:E28"/>
    <mergeCell ref="A31:A32"/>
    <mergeCell ref="C31:C32"/>
    <mergeCell ref="E31:E32"/>
    <mergeCell ref="A29:A30"/>
    <mergeCell ref="C29:C30"/>
    <mergeCell ref="A14:A16"/>
    <mergeCell ref="C14:C16"/>
    <mergeCell ref="E14:E16"/>
    <mergeCell ref="E29:E30"/>
    <mergeCell ref="A34:A35"/>
    <mergeCell ref="A40:A42"/>
    <mergeCell ref="C40:C43"/>
    <mergeCell ref="E40:E42"/>
    <mergeCell ref="C34:C35"/>
    <mergeCell ref="C56:C58"/>
    <mergeCell ref="E56:E57"/>
    <mergeCell ref="C45:C49"/>
    <mergeCell ref="A45:A49"/>
    <mergeCell ref="E45:E47"/>
    <mergeCell ref="E52:E53"/>
    <mergeCell ref="A52:A55"/>
    <mergeCell ref="C52:C55"/>
    <mergeCell ref="E54:E55"/>
    <mergeCell ref="E48:E49"/>
    <mergeCell ref="A50:A51"/>
    <mergeCell ref="C50:C51"/>
    <mergeCell ref="A61:A62"/>
    <mergeCell ref="C80:C86"/>
    <mergeCell ref="E80:E81"/>
    <mergeCell ref="E83:E85"/>
    <mergeCell ref="C59:C60"/>
    <mergeCell ref="E59:E60"/>
    <mergeCell ref="C61:C62"/>
    <mergeCell ref="E61:E62"/>
    <mergeCell ref="A64:A66"/>
    <mergeCell ref="C64:C66"/>
    <mergeCell ref="E65:E66"/>
    <mergeCell ref="A74:A76"/>
    <mergeCell ref="C74:C76"/>
    <mergeCell ref="E74:E76"/>
    <mergeCell ref="A59:A60"/>
    <mergeCell ref="A88:A93"/>
    <mergeCell ref="C88:C93"/>
    <mergeCell ref="E88:E89"/>
    <mergeCell ref="E91:E92"/>
    <mergeCell ref="A94:A102"/>
    <mergeCell ref="C94:C102"/>
    <mergeCell ref="A124:A128"/>
    <mergeCell ref="C124:C128"/>
    <mergeCell ref="C104:C108"/>
    <mergeCell ref="E106:E107"/>
    <mergeCell ref="E117:E118"/>
    <mergeCell ref="A109:A112"/>
    <mergeCell ref="C109:C112"/>
    <mergeCell ref="A113:A116"/>
    <mergeCell ref="C113:C116"/>
    <mergeCell ref="A117:A122"/>
    <mergeCell ref="C117:C122"/>
    <mergeCell ref="E126:E128"/>
  </mergeCells>
  <phoneticPr fontId="29" type="noConversion"/>
  <printOptions gridLines="1"/>
  <pageMargins left="0.70866141732283472" right="0.70866141732283472" top="0.74803149606299213" bottom="0.74803149606299213" header="0.31496062992125984" footer="0.31496062992125984"/>
  <pageSetup paperSize="8" scale="53" orientation="portrait" r:id="rId1"/>
  <headerFooter alignWithMargins="0"/>
  <rowBreaks count="1" manualBreakCount="1">
    <brk id="1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zoomScaleNormal="100" workbookViewId="0"/>
  </sheetViews>
  <sheetFormatPr defaultColWidth="8.85546875" defaultRowHeight="12.75" x14ac:dyDescent="0.2"/>
  <cols>
    <col min="1" max="1" width="23.85546875" style="35" customWidth="1"/>
    <col min="2" max="2" width="23.140625" style="35" customWidth="1"/>
    <col min="3" max="3" width="44.7109375" style="35" customWidth="1"/>
    <col min="4" max="4" width="27.140625" style="35" customWidth="1"/>
    <col min="5" max="5" width="28.140625" style="35" customWidth="1"/>
    <col min="6" max="16384" width="8.85546875" style="36"/>
  </cols>
  <sheetData>
    <row r="1" spans="1:5" s="35" customFormat="1" ht="36" customHeight="1" x14ac:dyDescent="0.2">
      <c r="A1" s="76" t="s">
        <v>32</v>
      </c>
      <c r="B1" s="68"/>
      <c r="C1" s="68"/>
      <c r="D1" s="68"/>
      <c r="E1" s="75"/>
    </row>
    <row r="2" spans="1:5" s="7" customFormat="1" ht="35.25" customHeight="1" x14ac:dyDescent="0.2">
      <c r="A2" s="78" t="s">
        <v>33</v>
      </c>
      <c r="B2" s="72"/>
      <c r="C2" s="71" t="s">
        <v>0</v>
      </c>
      <c r="D2" s="79" t="s">
        <v>48</v>
      </c>
      <c r="E2" s="72"/>
    </row>
    <row r="3" spans="1:5" s="33" customFormat="1" ht="35.25" customHeight="1" x14ac:dyDescent="0.25">
      <c r="A3" s="80" t="s">
        <v>16</v>
      </c>
      <c r="B3" s="81"/>
      <c r="C3" s="81"/>
      <c r="D3" s="81"/>
      <c r="E3" s="82"/>
    </row>
    <row r="4" spans="1:5" s="7" customFormat="1" ht="31.5" x14ac:dyDescent="0.25">
      <c r="A4" s="53" t="s">
        <v>17</v>
      </c>
      <c r="B4" s="54" t="s">
        <v>3</v>
      </c>
      <c r="C4" s="10"/>
      <c r="D4" s="10"/>
      <c r="E4" s="46"/>
    </row>
    <row r="5" spans="1:5" x14ac:dyDescent="0.2">
      <c r="A5" s="49" t="s">
        <v>4</v>
      </c>
      <c r="B5" s="3" t="s">
        <v>5</v>
      </c>
      <c r="C5" s="3" t="s">
        <v>18</v>
      </c>
      <c r="D5" s="3" t="s">
        <v>19</v>
      </c>
      <c r="E5" s="20" t="s">
        <v>8</v>
      </c>
    </row>
    <row r="6" spans="1:5" ht="25.5" x14ac:dyDescent="0.2">
      <c r="A6" s="145" t="s">
        <v>38</v>
      </c>
      <c r="B6" s="120"/>
    </row>
    <row r="7" spans="1:5" ht="15" customHeight="1" x14ac:dyDescent="0.2">
      <c r="A7" s="126"/>
      <c r="B7" s="120"/>
      <c r="E7" s="43"/>
    </row>
    <row r="8" spans="1:5" x14ac:dyDescent="0.2">
      <c r="A8" s="42"/>
      <c r="E8" s="43"/>
    </row>
    <row r="9" spans="1:5" s="39" customFormat="1" ht="25.5" customHeight="1" x14ac:dyDescent="0.2">
      <c r="A9" s="42"/>
      <c r="B9" s="35"/>
      <c r="C9" s="35"/>
      <c r="D9" s="35"/>
      <c r="E9" s="43"/>
    </row>
    <row r="10" spans="1:5" ht="31.5" x14ac:dyDescent="0.25">
      <c r="A10" s="57" t="s">
        <v>17</v>
      </c>
      <c r="B10" s="58" t="s">
        <v>9</v>
      </c>
      <c r="C10" s="11"/>
      <c r="D10" s="11"/>
      <c r="E10" s="51"/>
    </row>
    <row r="11" spans="1:5" x14ac:dyDescent="0.2">
      <c r="A11" s="47" t="s">
        <v>4</v>
      </c>
      <c r="B11" s="4" t="s">
        <v>5</v>
      </c>
      <c r="C11" s="4"/>
      <c r="D11" s="4"/>
      <c r="E11" s="48"/>
    </row>
    <row r="12" spans="1:5" s="39" customFormat="1" ht="25.5" x14ac:dyDescent="0.2">
      <c r="A12" s="145" t="s">
        <v>38</v>
      </c>
      <c r="B12" s="116"/>
      <c r="C12" s="117"/>
      <c r="D12" s="16"/>
      <c r="E12" s="118"/>
    </row>
    <row r="13" spans="1:5" x14ac:dyDescent="0.2">
      <c r="A13" s="100"/>
      <c r="B13" s="110"/>
      <c r="C13" s="14"/>
      <c r="D13" s="14"/>
      <c r="E13" s="43"/>
    </row>
    <row r="14" spans="1:5" x14ac:dyDescent="0.2">
      <c r="A14" s="99"/>
      <c r="B14" s="110"/>
      <c r="C14" s="14"/>
      <c r="D14" s="14"/>
      <c r="E14" s="43"/>
    </row>
    <row r="15" spans="1:5" x14ac:dyDescent="0.2">
      <c r="A15" s="99"/>
      <c r="B15" s="110"/>
      <c r="C15" s="14"/>
      <c r="E15" s="43"/>
    </row>
    <row r="16" spans="1:5" x14ac:dyDescent="0.2">
      <c r="B16" s="110"/>
    </row>
    <row r="17" spans="1:5" ht="45" x14ac:dyDescent="0.25">
      <c r="A17" s="102" t="s">
        <v>43</v>
      </c>
      <c r="B17" s="111"/>
      <c r="C17" s="103"/>
      <c r="D17" s="103"/>
      <c r="E17" s="103"/>
    </row>
    <row r="18" spans="1:5" s="106" customFormat="1" ht="15" x14ac:dyDescent="0.25">
      <c r="A18" s="104"/>
      <c r="B18" s="112"/>
      <c r="C18" s="105"/>
      <c r="D18" s="105"/>
      <c r="E18" s="105"/>
    </row>
    <row r="19" spans="1:5" ht="13.5" thickBot="1" x14ac:dyDescent="0.25">
      <c r="A19" s="36"/>
      <c r="B19" s="113">
        <v>0</v>
      </c>
    </row>
    <row r="20" spans="1:5" ht="13.5" thickTop="1" x14ac:dyDescent="0.2"/>
  </sheetData>
  <phoneticPr fontId="29" type="noConversion"/>
  <printOptions gridLines="1"/>
  <pageMargins left="0.70866141732283472" right="0.70866141732283472" top="0.74803149606299213" bottom="0.74803149606299213" header="0.31496062992125984" footer="0.31496062992125984"/>
  <pageSetup paperSize="8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zoomScale="80" workbookViewId="0"/>
  </sheetViews>
  <sheetFormatPr defaultColWidth="8.85546875" defaultRowHeight="12.75" x14ac:dyDescent="0.2"/>
  <cols>
    <col min="1" max="1" width="23.85546875" style="59" customWidth="1"/>
    <col min="2" max="2" width="23.140625" style="59" customWidth="1"/>
    <col min="3" max="3" width="27.42578125" style="59" customWidth="1"/>
    <col min="4" max="4" width="27.140625" style="59" customWidth="1"/>
    <col min="5" max="5" width="28.140625" style="59" customWidth="1"/>
    <col min="6" max="16384" width="8.85546875" style="64"/>
  </cols>
  <sheetData>
    <row r="1" spans="1:5" ht="34.5" customHeight="1" x14ac:dyDescent="0.2">
      <c r="A1" s="76" t="s">
        <v>32</v>
      </c>
      <c r="B1" s="5"/>
      <c r="C1" s="5"/>
      <c r="D1" s="5"/>
      <c r="E1" s="18"/>
    </row>
    <row r="2" spans="1:5" ht="30" customHeight="1" x14ac:dyDescent="0.2">
      <c r="A2" s="78" t="s">
        <v>33</v>
      </c>
      <c r="B2" s="74"/>
      <c r="C2" s="70" t="s">
        <v>0</v>
      </c>
      <c r="D2" s="79" t="s">
        <v>48</v>
      </c>
      <c r="E2" s="34"/>
    </row>
    <row r="3" spans="1:5" ht="18" x14ac:dyDescent="0.2">
      <c r="A3" s="83" t="s">
        <v>20</v>
      </c>
      <c r="B3" s="84"/>
      <c r="C3" s="84"/>
      <c r="D3" s="84"/>
      <c r="E3" s="85"/>
    </row>
    <row r="4" spans="1:5" ht="20.25" customHeight="1" x14ac:dyDescent="0.25">
      <c r="A4" s="53" t="s">
        <v>21</v>
      </c>
      <c r="B4" s="10"/>
      <c r="C4" s="10"/>
      <c r="D4" s="10"/>
      <c r="E4" s="46"/>
    </row>
    <row r="5" spans="1:5" ht="19.5" customHeight="1" x14ac:dyDescent="0.2">
      <c r="A5" s="49" t="s">
        <v>4</v>
      </c>
      <c r="B5" s="3" t="s">
        <v>22</v>
      </c>
      <c r="C5" s="3" t="s">
        <v>23</v>
      </c>
      <c r="D5" s="3" t="s">
        <v>24</v>
      </c>
      <c r="E5" s="20"/>
    </row>
    <row r="6" spans="1:5" ht="25.5" x14ac:dyDescent="0.2">
      <c r="A6" s="151">
        <v>42206</v>
      </c>
      <c r="B6" s="149" t="s">
        <v>68</v>
      </c>
      <c r="C6" s="149" t="s">
        <v>69</v>
      </c>
      <c r="D6" s="152">
        <v>150</v>
      </c>
      <c r="E6" s="148"/>
    </row>
    <row r="7" spans="1:5" ht="25.5" x14ac:dyDescent="0.2">
      <c r="A7" s="99">
        <v>42539</v>
      </c>
      <c r="B7" s="35" t="s">
        <v>120</v>
      </c>
      <c r="C7" s="35" t="s">
        <v>121</v>
      </c>
      <c r="D7" s="120">
        <v>394</v>
      </c>
      <c r="E7" s="43" t="s">
        <v>122</v>
      </c>
    </row>
    <row r="8" spans="1:5" x14ac:dyDescent="0.2">
      <c r="A8" s="60"/>
      <c r="E8" s="61"/>
    </row>
    <row r="9" spans="1:5" x14ac:dyDescent="0.2">
      <c r="A9" s="60"/>
      <c r="E9" s="61"/>
    </row>
    <row r="10" spans="1:5" x14ac:dyDescent="0.2">
      <c r="A10" s="60"/>
      <c r="E10" s="61"/>
    </row>
    <row r="11" spans="1:5" s="65" customFormat="1" ht="27" customHeight="1" x14ac:dyDescent="0.25">
      <c r="A11" s="227" t="s">
        <v>36</v>
      </c>
      <c r="B11" s="228"/>
      <c r="C11" s="12"/>
      <c r="D11" s="12"/>
      <c r="E11" s="50"/>
    </row>
    <row r="12" spans="1:5" x14ac:dyDescent="0.2">
      <c r="A12" s="49" t="s">
        <v>4</v>
      </c>
      <c r="B12" s="3" t="s">
        <v>22</v>
      </c>
      <c r="C12" s="3" t="s">
        <v>25</v>
      </c>
      <c r="D12" s="3" t="s">
        <v>26</v>
      </c>
      <c r="E12" s="20"/>
    </row>
    <row r="13" spans="1:5" ht="25.5" x14ac:dyDescent="0.2">
      <c r="A13" s="144" t="s">
        <v>38</v>
      </c>
      <c r="B13" s="35"/>
      <c r="C13" s="35"/>
      <c r="D13" s="127"/>
      <c r="E13" s="43"/>
    </row>
    <row r="14" spans="1:5" x14ac:dyDescent="0.2">
      <c r="A14" s="126"/>
      <c r="B14" s="35"/>
      <c r="C14" s="35"/>
      <c r="D14" s="120"/>
      <c r="E14" s="43"/>
    </row>
    <row r="15" spans="1:5" x14ac:dyDescent="0.2">
      <c r="A15" s="126"/>
      <c r="B15" s="35"/>
      <c r="C15" s="35"/>
      <c r="D15" s="120"/>
      <c r="E15" s="61"/>
    </row>
    <row r="16" spans="1:5" x14ac:dyDescent="0.2">
      <c r="A16" s="126"/>
      <c r="B16" s="35"/>
      <c r="C16" s="35"/>
      <c r="D16" s="128"/>
      <c r="E16" s="61"/>
    </row>
    <row r="17" spans="1:5" x14ac:dyDescent="0.2">
      <c r="A17" s="60"/>
      <c r="E17" s="61"/>
    </row>
    <row r="18" spans="1:5" ht="126" customHeight="1" x14ac:dyDescent="0.2">
      <c r="A18" s="60" t="s">
        <v>27</v>
      </c>
      <c r="E18" s="61"/>
    </row>
    <row r="19" spans="1:5" x14ac:dyDescent="0.2">
      <c r="A19" s="60"/>
      <c r="E19" s="61"/>
    </row>
    <row r="20" spans="1:5" x14ac:dyDescent="0.2">
      <c r="A20" s="60"/>
      <c r="E20" s="61"/>
    </row>
    <row r="21" spans="1:5" x14ac:dyDescent="0.2">
      <c r="A21" s="60"/>
      <c r="E21" s="61"/>
    </row>
    <row r="22" spans="1:5" x14ac:dyDescent="0.2">
      <c r="A22" s="60"/>
      <c r="E22" s="61"/>
    </row>
    <row r="23" spans="1:5" x14ac:dyDescent="0.2">
      <c r="A23" s="60"/>
      <c r="E23" s="61"/>
    </row>
    <row r="24" spans="1:5" x14ac:dyDescent="0.2">
      <c r="A24" s="62"/>
      <c r="B24" s="52"/>
      <c r="C24" s="52"/>
      <c r="D24" s="52"/>
      <c r="E24" s="63"/>
    </row>
  </sheetData>
  <mergeCells count="1">
    <mergeCell ref="A11:B11"/>
  </mergeCells>
  <phoneticPr fontId="29" type="noConversion"/>
  <printOptions gridLines="1"/>
  <pageMargins left="0.70866141732283472" right="0.70866141732283472" top="0.74803149606299213" bottom="0.74803149606299213" header="0.31496062992125984" footer="0.31496062992125984"/>
  <pageSetup paperSize="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topLeftCell="A7" workbookViewId="0">
      <selection activeCell="E17" sqref="E17"/>
    </sheetView>
  </sheetViews>
  <sheetFormatPr defaultColWidth="8.85546875" defaultRowHeight="12.75" x14ac:dyDescent="0.2"/>
  <cols>
    <col min="1" max="1" width="23.85546875" style="31" customWidth="1"/>
    <col min="2" max="2" width="23.140625" style="31" customWidth="1"/>
    <col min="3" max="3" width="33.85546875" style="31" bestFit="1" customWidth="1"/>
    <col min="4" max="4" width="27.140625" style="31" customWidth="1"/>
    <col min="5" max="5" width="28.140625" style="31" customWidth="1"/>
    <col min="6" max="16384" width="8.85546875" style="32"/>
  </cols>
  <sheetData>
    <row r="1" spans="1:5" ht="39.75" customHeight="1" x14ac:dyDescent="0.2">
      <c r="A1" s="76" t="s">
        <v>32</v>
      </c>
      <c r="B1" s="68"/>
      <c r="C1" s="68"/>
      <c r="D1" s="40"/>
      <c r="E1" s="41"/>
    </row>
    <row r="2" spans="1:5" ht="29.25" customHeight="1" x14ac:dyDescent="0.2">
      <c r="A2" s="78" t="s">
        <v>33</v>
      </c>
      <c r="B2" s="72"/>
      <c r="C2" s="71" t="s">
        <v>0</v>
      </c>
      <c r="D2" s="79" t="s">
        <v>48</v>
      </c>
      <c r="E2" s="73"/>
    </row>
    <row r="3" spans="1:5" ht="29.25" customHeight="1" x14ac:dyDescent="0.2">
      <c r="A3" s="86" t="s">
        <v>28</v>
      </c>
      <c r="B3" s="87"/>
      <c r="C3" s="87"/>
      <c r="D3" s="87"/>
      <c r="E3" s="88"/>
    </row>
    <row r="4" spans="1:5" ht="39.75" customHeight="1" x14ac:dyDescent="0.25">
      <c r="A4" s="53" t="s">
        <v>28</v>
      </c>
      <c r="B4" s="54" t="s">
        <v>3</v>
      </c>
      <c r="C4" s="10"/>
      <c r="D4" s="10"/>
      <c r="E4" s="46"/>
    </row>
    <row r="5" spans="1:5" ht="25.5" x14ac:dyDescent="0.2">
      <c r="A5" s="49" t="s">
        <v>4</v>
      </c>
      <c r="B5" s="3" t="s">
        <v>29</v>
      </c>
      <c r="C5" s="3" t="s">
        <v>30</v>
      </c>
      <c r="D5" s="3"/>
      <c r="E5" s="20" t="s">
        <v>31</v>
      </c>
    </row>
    <row r="6" spans="1:5" x14ac:dyDescent="0.2">
      <c r="A6" s="158">
        <v>42338</v>
      </c>
      <c r="B6" s="159">
        <v>30</v>
      </c>
      <c r="C6" s="160" t="s">
        <v>79</v>
      </c>
      <c r="D6" s="160"/>
      <c r="E6" s="161"/>
    </row>
    <row r="7" spans="1:5" x14ac:dyDescent="0.2">
      <c r="A7" s="142"/>
      <c r="B7" s="138"/>
      <c r="C7" s="139"/>
      <c r="D7" s="139"/>
      <c r="E7" s="140"/>
    </row>
    <row r="8" spans="1:5" x14ac:dyDescent="0.2">
      <c r="A8" s="42"/>
      <c r="B8" s="35"/>
      <c r="C8" s="35"/>
      <c r="D8" s="35"/>
      <c r="E8" s="43"/>
    </row>
    <row r="9" spans="1:5" x14ac:dyDescent="0.2">
      <c r="A9" s="42"/>
      <c r="B9" s="35"/>
      <c r="C9" s="35"/>
      <c r="D9" s="35"/>
      <c r="E9" s="43"/>
    </row>
    <row r="10" spans="1:5" x14ac:dyDescent="0.2">
      <c r="A10" s="42"/>
      <c r="B10" s="35"/>
      <c r="C10" s="35"/>
      <c r="D10" s="35"/>
      <c r="E10" s="43"/>
    </row>
    <row r="11" spans="1:5" ht="31.5" x14ac:dyDescent="0.25">
      <c r="A11" s="53" t="s">
        <v>28</v>
      </c>
      <c r="B11" s="54" t="s">
        <v>9</v>
      </c>
      <c r="C11" s="10"/>
      <c r="D11" s="10"/>
      <c r="E11" s="46"/>
    </row>
    <row r="12" spans="1:5" ht="15" customHeight="1" x14ac:dyDescent="0.2">
      <c r="A12" s="49" t="s">
        <v>4</v>
      </c>
      <c r="B12" s="3" t="s">
        <v>29</v>
      </c>
      <c r="C12" s="3"/>
      <c r="D12" s="3"/>
      <c r="E12" s="20"/>
    </row>
    <row r="13" spans="1:5" s="172" customFormat="1" ht="25.5" x14ac:dyDescent="0.2">
      <c r="A13" s="229" t="s">
        <v>147</v>
      </c>
      <c r="B13" s="198">
        <v>1100.3544999999999</v>
      </c>
      <c r="C13" s="168" t="s">
        <v>37</v>
      </c>
      <c r="D13" s="230" t="s">
        <v>37</v>
      </c>
      <c r="E13" s="231" t="s">
        <v>34</v>
      </c>
    </row>
    <row r="14" spans="1:5" s="172" customFormat="1" ht="25.5" x14ac:dyDescent="0.2">
      <c r="A14" s="229"/>
      <c r="B14" s="198">
        <v>-120</v>
      </c>
      <c r="C14" s="168" t="s">
        <v>35</v>
      </c>
      <c r="D14" s="230"/>
      <c r="E14" s="232"/>
    </row>
    <row r="15" spans="1:5" s="172" customFormat="1" x14ac:dyDescent="0.2">
      <c r="A15" s="229"/>
      <c r="B15" s="199">
        <v>980.35449999999992</v>
      </c>
      <c r="C15" s="169" t="s">
        <v>148</v>
      </c>
      <c r="D15" s="230"/>
      <c r="E15" s="232"/>
    </row>
    <row r="16" spans="1:5" s="172" customFormat="1" x14ac:dyDescent="0.2">
      <c r="A16" s="196"/>
      <c r="B16" s="173"/>
      <c r="C16" s="169"/>
      <c r="D16" s="168"/>
      <c r="E16" s="171"/>
    </row>
    <row r="17" spans="1:5" x14ac:dyDescent="0.2">
      <c r="A17" s="197">
        <v>42522</v>
      </c>
      <c r="B17" s="141">
        <f>413.04*1.15</f>
        <v>474.99599999999998</v>
      </c>
      <c r="C17" s="149" t="s">
        <v>132</v>
      </c>
      <c r="D17" s="168" t="s">
        <v>133</v>
      </c>
      <c r="E17" s="171"/>
    </row>
    <row r="18" spans="1:5" x14ac:dyDescent="0.2">
      <c r="A18" s="195"/>
      <c r="B18" s="141"/>
      <c r="C18" s="149"/>
      <c r="D18" s="168"/>
      <c r="E18" s="171"/>
    </row>
    <row r="19" spans="1:5" x14ac:dyDescent="0.2">
      <c r="A19" s="42"/>
      <c r="B19" s="107"/>
      <c r="C19" s="35"/>
      <c r="D19" s="35"/>
      <c r="E19" s="43"/>
    </row>
    <row r="20" spans="1:5" ht="30" x14ac:dyDescent="0.2">
      <c r="A20" s="67" t="s">
        <v>45</v>
      </c>
      <c r="B20" s="108"/>
      <c r="C20" s="37"/>
      <c r="D20" s="38"/>
      <c r="E20" s="66"/>
    </row>
    <row r="21" spans="1:5" x14ac:dyDescent="0.2">
      <c r="A21" s="14" t="s">
        <v>5</v>
      </c>
      <c r="B21" s="109">
        <f>B15+B17</f>
        <v>1455.3505</v>
      </c>
      <c r="C21" s="35"/>
      <c r="D21" s="35"/>
      <c r="E21" s="43"/>
    </row>
    <row r="22" spans="1:5" x14ac:dyDescent="0.2">
      <c r="A22" s="42"/>
      <c r="B22" s="35"/>
      <c r="C22" s="35"/>
      <c r="D22" s="35"/>
      <c r="E22" s="43"/>
    </row>
    <row r="23" spans="1:5" ht="25.5" x14ac:dyDescent="0.2">
      <c r="A23" s="21" t="s">
        <v>15</v>
      </c>
      <c r="B23" s="14"/>
      <c r="C23" s="35"/>
      <c r="D23" s="35"/>
      <c r="E23" s="43"/>
    </row>
    <row r="24" spans="1:5" x14ac:dyDescent="0.2">
      <c r="A24" s="42"/>
      <c r="B24" s="35"/>
      <c r="C24" s="35"/>
      <c r="D24" s="35"/>
      <c r="E24" s="43"/>
    </row>
    <row r="25" spans="1:5" x14ac:dyDescent="0.2">
      <c r="A25" s="42"/>
      <c r="B25" s="35"/>
      <c r="C25" s="35"/>
      <c r="D25" s="35"/>
      <c r="E25" s="43"/>
    </row>
    <row r="26" spans="1:5" x14ac:dyDescent="0.2">
      <c r="A26" s="42"/>
      <c r="B26" s="35"/>
      <c r="C26" s="35"/>
      <c r="D26" s="35"/>
      <c r="E26" s="43"/>
    </row>
    <row r="27" spans="1:5" x14ac:dyDescent="0.2">
      <c r="A27" s="42"/>
      <c r="B27" s="35"/>
      <c r="C27" s="35"/>
      <c r="D27" s="35"/>
      <c r="E27" s="43"/>
    </row>
    <row r="28" spans="1:5" x14ac:dyDescent="0.2">
      <c r="B28" s="35"/>
      <c r="C28" s="35"/>
      <c r="D28" s="35"/>
      <c r="E28" s="43"/>
    </row>
    <row r="29" spans="1:5" x14ac:dyDescent="0.2">
      <c r="A29" s="42"/>
      <c r="B29" s="35"/>
      <c r="C29" s="35"/>
      <c r="D29" s="35"/>
      <c r="E29" s="43"/>
    </row>
    <row r="30" spans="1:5" x14ac:dyDescent="0.2">
      <c r="A30" s="42"/>
      <c r="B30" s="35"/>
      <c r="C30" s="35"/>
      <c r="D30" s="35"/>
      <c r="E30" s="43"/>
    </row>
    <row r="31" spans="1:5" x14ac:dyDescent="0.2">
      <c r="A31" s="42"/>
      <c r="B31" s="35"/>
      <c r="C31" s="35"/>
      <c r="D31" s="35"/>
      <c r="E31" s="43"/>
    </row>
    <row r="32" spans="1:5" x14ac:dyDescent="0.2">
      <c r="A32" s="42"/>
      <c r="B32" s="35"/>
      <c r="C32" s="35"/>
      <c r="D32" s="35"/>
      <c r="E32" s="43"/>
    </row>
    <row r="33" spans="1:5" x14ac:dyDescent="0.2">
      <c r="A33" s="44"/>
      <c r="B33" s="30"/>
      <c r="C33" s="30"/>
      <c r="D33" s="30"/>
      <c r="E33" s="45"/>
    </row>
  </sheetData>
  <mergeCells count="3">
    <mergeCell ref="A13:A15"/>
    <mergeCell ref="D13:D15"/>
    <mergeCell ref="E13:E15"/>
  </mergeCells>
  <pageMargins left="0.70866141732283472" right="0.70866141732283472" top="0.74803149606299213" bottom="0.74803149606299213" header="0.31496062992125984" footer="0.31496062992125984"/>
  <pageSetup paperSize="8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Travel</vt:lpstr>
      <vt:lpstr>Hospitality provided</vt:lpstr>
      <vt:lpstr>Gifts and hospitality received</vt:lpstr>
      <vt:lpstr>Other</vt:lpstr>
      <vt:lpstr>'Gifts and hospitality received'!Print_Area</vt:lpstr>
      <vt:lpstr>'Hospitality provided'!Print_Area</vt:lpstr>
      <vt:lpstr>Travel!Print_Area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Erin Hole</cp:lastModifiedBy>
  <cp:lastPrinted>2016-07-11T01:29:15Z</cp:lastPrinted>
  <dcterms:created xsi:type="dcterms:W3CDTF">2010-10-17T20:59:02Z</dcterms:created>
  <dcterms:modified xsi:type="dcterms:W3CDTF">2017-06-14T22:20:58Z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A8249290</vt:lpwstr>
  </property>
  <property fmtid="{D5CDD505-2E9C-101B-9397-08002B2CF9AE}" pid="3" name="Objective-Comment">
    <vt:lpwstr/>
  </property>
  <property fmtid="{D5CDD505-2E9C-101B-9397-08002B2CF9AE}" pid="4" name="Objective-CreationStamp">
    <vt:filetime>2015-07-22T22:55:26Z</vt:filetime>
  </property>
  <property fmtid="{D5CDD505-2E9C-101B-9397-08002B2CF9AE}" pid="5" name="Objective-IsApproved">
    <vt:bool>false</vt:bool>
  </property>
  <property fmtid="{D5CDD505-2E9C-101B-9397-08002B2CF9AE}" pid="6" name="Objective-IsPublished">
    <vt:bool>false</vt:bool>
  </property>
  <property fmtid="{D5CDD505-2E9C-101B-9397-08002B2CF9AE}" pid="7" name="Objective-DatePublished">
    <vt:lpwstr/>
  </property>
  <property fmtid="{D5CDD505-2E9C-101B-9397-08002B2CF9AE}" pid="8" name="Objective-ModificationStamp">
    <vt:filetime>2016-07-06T00:03:53Z</vt:filetime>
  </property>
  <property fmtid="{D5CDD505-2E9C-101B-9397-08002B2CF9AE}" pid="9" name="Objective-Owner">
    <vt:lpwstr>Sarah Blake</vt:lpwstr>
  </property>
  <property fmtid="{D5CDD505-2E9C-101B-9397-08002B2CF9AE}" pid="10" name="Objective-Path">
    <vt:lpwstr>Global Folder:MSD INFORMATION REPOSITORY:Corporate Management &amp; Administration:Finance:Reporting:Internal:Actuals Financial:DCE Corporate &amp; Governance:Fiscal 2015 - 2016:12 June 2016:Working File:</vt:lpwstr>
  </property>
  <property fmtid="{D5CDD505-2E9C-101B-9397-08002B2CF9AE}" pid="11" name="Objective-Parent">
    <vt:lpwstr>Working File</vt:lpwstr>
  </property>
  <property fmtid="{D5CDD505-2E9C-101B-9397-08002B2CF9AE}" pid="12" name="Objective-State">
    <vt:lpwstr>Being Edited</vt:lpwstr>
  </property>
  <property fmtid="{D5CDD505-2E9C-101B-9397-08002B2CF9AE}" pid="13" name="Objective-Title">
    <vt:lpwstr>SSC CE expenses July 15 to June 16</vt:lpwstr>
  </property>
  <property fmtid="{D5CDD505-2E9C-101B-9397-08002B2CF9AE}" pid="14" name="Objective-Version">
    <vt:lpwstr>23.1</vt:lpwstr>
  </property>
  <property fmtid="{D5CDD505-2E9C-101B-9397-08002B2CF9AE}" pid="15" name="Objective-VersionComment">
    <vt:lpwstr/>
  </property>
  <property fmtid="{D5CDD505-2E9C-101B-9397-08002B2CF9AE}" pid="16" name="Objective-VersionNumber">
    <vt:r8>24</vt:r8>
  </property>
  <property fmtid="{D5CDD505-2E9C-101B-9397-08002B2CF9AE}" pid="17" name="Objective-FileNumber">
    <vt:lpwstr>CT/FI/02/01/01/06/15/12/15-16138</vt:lpwstr>
  </property>
  <property fmtid="{D5CDD505-2E9C-101B-9397-08002B2CF9AE}" pid="18" name="Objective-Classification">
    <vt:lpwstr>[Inherited - In Confidence]</vt:lpwstr>
  </property>
  <property fmtid="{D5CDD505-2E9C-101B-9397-08002B2CF9AE}" pid="19" name="Objective-Caveats">
    <vt:lpwstr/>
  </property>
  <property fmtid="{D5CDD505-2E9C-101B-9397-08002B2CF9AE}" pid="20" name="Objective-Document Status [system]">
    <vt:lpwstr>Work in Progress</vt:lpwstr>
  </property>
  <property fmtid="{D5CDD505-2E9C-101B-9397-08002B2CF9AE}" pid="21" name="Objective-Email is Vaulted? [system]">
    <vt:lpwstr/>
  </property>
</Properties>
</file>