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58E26B6A-3063-4C7A-AC01-E5759B0A81DB}" xr6:coauthVersionLast="47" xr6:coauthVersionMax="47" xr10:uidLastSave="{00000000-0000-0000-0000-000000000000}"/>
  <bookViews>
    <workbookView xWindow="-28920" yWindow="-75" windowWidth="29040" windowHeight="15840" activeTab="3" xr2:uid="{00000000-000D-0000-FFFF-FFFF00000000}"/>
  </bookViews>
  <sheets>
    <sheet name="Disclaimer" sheetId="6" r:id="rId1"/>
    <sheet name="Ethnicity" sheetId="1" r:id="rId2"/>
    <sheet name="Gender" sheetId="2" r:id="rId3"/>
    <sheet name="Family Structure"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9" i="1" l="1"/>
  <c r="L59" i="1"/>
  <c r="R149" i="1" l="1"/>
  <c r="Q149" i="1"/>
  <c r="P149" i="1"/>
  <c r="O149" i="1"/>
  <c r="N149" i="1"/>
  <c r="M149" i="1"/>
  <c r="L149" i="1"/>
  <c r="K149" i="1"/>
  <c r="J149" i="1"/>
  <c r="I149" i="1"/>
  <c r="H149" i="1"/>
  <c r="G149" i="1"/>
  <c r="F149" i="1"/>
  <c r="E149" i="1"/>
  <c r="R148" i="1"/>
  <c r="Q148" i="1"/>
  <c r="P148" i="1"/>
  <c r="O148" i="1"/>
  <c r="N148" i="1"/>
  <c r="M148" i="1"/>
  <c r="L148" i="1"/>
  <c r="K148" i="1"/>
  <c r="J148" i="1"/>
  <c r="I148" i="1"/>
  <c r="H148" i="1"/>
  <c r="G148" i="1"/>
  <c r="F148" i="1"/>
  <c r="E148" i="1"/>
  <c r="R147" i="1"/>
  <c r="Q147" i="1"/>
  <c r="P147" i="1"/>
  <c r="O147" i="1"/>
  <c r="N147" i="1"/>
  <c r="M147" i="1"/>
  <c r="L147" i="1"/>
  <c r="K147" i="1"/>
  <c r="J147" i="1"/>
  <c r="I147" i="1"/>
  <c r="H147" i="1"/>
  <c r="G147" i="1"/>
  <c r="F147" i="1"/>
  <c r="E147" i="1"/>
  <c r="R146" i="1"/>
  <c r="Q146" i="1"/>
  <c r="P146" i="1"/>
  <c r="O146" i="1"/>
  <c r="N146" i="1"/>
  <c r="M146" i="1"/>
  <c r="L146" i="1"/>
  <c r="K146" i="1"/>
  <c r="J146" i="1"/>
  <c r="I146" i="1"/>
  <c r="H146" i="1"/>
  <c r="G146" i="1"/>
  <c r="F146" i="1"/>
  <c r="E146" i="1"/>
  <c r="R145" i="1"/>
  <c r="Q145" i="1"/>
  <c r="P145" i="1"/>
  <c r="O145" i="1"/>
  <c r="N145" i="1"/>
  <c r="M145" i="1"/>
  <c r="L145" i="1"/>
  <c r="K145" i="1"/>
  <c r="J145" i="1"/>
  <c r="I145" i="1"/>
  <c r="H145" i="1"/>
  <c r="G145" i="1"/>
  <c r="F145" i="1"/>
  <c r="E145" i="1"/>
  <c r="R143" i="1"/>
  <c r="Q143" i="1"/>
  <c r="L143" i="1"/>
  <c r="K143" i="1"/>
  <c r="J143" i="1"/>
  <c r="I143" i="1"/>
  <c r="R142" i="1"/>
  <c r="Q142" i="1"/>
  <c r="P142" i="1"/>
  <c r="O142" i="1"/>
  <c r="N142" i="1"/>
  <c r="M142" i="1"/>
  <c r="L142" i="1"/>
  <c r="K142" i="1"/>
  <c r="J142" i="1"/>
  <c r="I142" i="1"/>
  <c r="H142" i="1"/>
  <c r="G142" i="1"/>
  <c r="R141" i="1"/>
  <c r="Q141" i="1"/>
  <c r="P141" i="1"/>
  <c r="O141" i="1"/>
  <c r="N141" i="1"/>
  <c r="M141" i="1"/>
  <c r="L141" i="1"/>
  <c r="K141" i="1"/>
  <c r="J141" i="1"/>
  <c r="I141" i="1"/>
  <c r="H141" i="1"/>
  <c r="G141" i="1"/>
  <c r="F141" i="1"/>
  <c r="E141" i="1"/>
  <c r="R140" i="1"/>
  <c r="Q140" i="1"/>
  <c r="P140" i="1"/>
  <c r="O140" i="1"/>
  <c r="N140" i="1"/>
  <c r="M140" i="1"/>
  <c r="L140" i="1"/>
  <c r="K140" i="1"/>
  <c r="J140" i="1"/>
  <c r="I140" i="1"/>
  <c r="H140" i="1"/>
  <c r="G140" i="1"/>
  <c r="F140" i="1"/>
  <c r="E140" i="1"/>
  <c r="R139" i="1"/>
  <c r="Q139" i="1"/>
  <c r="P139" i="1"/>
  <c r="O139" i="1"/>
  <c r="N139" i="1"/>
  <c r="M139" i="1"/>
  <c r="L139" i="1"/>
  <c r="K139" i="1"/>
  <c r="J139" i="1"/>
  <c r="I139" i="1"/>
  <c r="H139" i="1"/>
  <c r="G139" i="1"/>
  <c r="F139" i="1"/>
  <c r="E139" i="1"/>
  <c r="R137" i="1"/>
  <c r="Q137" i="1"/>
  <c r="P137" i="1"/>
  <c r="O137" i="1"/>
  <c r="N137" i="1"/>
  <c r="M137" i="1"/>
  <c r="L137" i="1"/>
  <c r="K137" i="1"/>
  <c r="J137" i="1"/>
  <c r="I137" i="1"/>
  <c r="H137" i="1"/>
  <c r="G137" i="1"/>
  <c r="F137" i="1"/>
  <c r="E137" i="1"/>
  <c r="R136" i="1"/>
  <c r="Q136" i="1"/>
  <c r="P136" i="1"/>
  <c r="O136" i="1"/>
  <c r="N136" i="1"/>
  <c r="M136" i="1"/>
  <c r="L136" i="1"/>
  <c r="K136" i="1"/>
  <c r="J136" i="1"/>
  <c r="I136" i="1"/>
  <c r="H136" i="1"/>
  <c r="G136" i="1"/>
  <c r="F136" i="1"/>
  <c r="E136" i="1"/>
  <c r="R135" i="1"/>
  <c r="Q135" i="1"/>
  <c r="P135" i="1"/>
  <c r="O135" i="1"/>
  <c r="N135" i="1"/>
  <c r="M135" i="1"/>
  <c r="L135" i="1"/>
  <c r="K135" i="1"/>
  <c r="J135" i="1"/>
  <c r="I135" i="1"/>
  <c r="H135" i="1"/>
  <c r="G135" i="1"/>
  <c r="F135" i="1"/>
  <c r="E135" i="1"/>
  <c r="R134" i="1"/>
  <c r="Q134" i="1"/>
  <c r="P134" i="1"/>
  <c r="O134" i="1"/>
  <c r="N134" i="1"/>
  <c r="M134" i="1"/>
  <c r="L134" i="1"/>
  <c r="K134" i="1"/>
  <c r="J134" i="1"/>
  <c r="I134" i="1"/>
  <c r="H134" i="1"/>
  <c r="G134" i="1"/>
  <c r="F134" i="1"/>
  <c r="E134" i="1"/>
  <c r="R133" i="1"/>
  <c r="Q133" i="1"/>
  <c r="P133" i="1"/>
  <c r="O133" i="1"/>
  <c r="N133" i="1"/>
  <c r="M133" i="1"/>
  <c r="L133" i="1"/>
  <c r="K133" i="1"/>
  <c r="J133" i="1"/>
  <c r="I133" i="1"/>
  <c r="H133" i="1"/>
  <c r="G133" i="1"/>
  <c r="F133" i="1"/>
  <c r="E133" i="1"/>
  <c r="R131" i="1"/>
  <c r="Q131" i="1"/>
  <c r="P131" i="1"/>
  <c r="O131" i="1"/>
  <c r="N131" i="1"/>
  <c r="M131" i="1"/>
  <c r="L131" i="1"/>
  <c r="K131" i="1"/>
  <c r="J131" i="1"/>
  <c r="I131" i="1"/>
  <c r="H131" i="1"/>
  <c r="G131" i="1"/>
  <c r="R130" i="1"/>
  <c r="Q130" i="1"/>
  <c r="P130" i="1"/>
  <c r="O130" i="1"/>
  <c r="N130" i="1"/>
  <c r="M130" i="1"/>
  <c r="L130" i="1"/>
  <c r="K130" i="1"/>
  <c r="J130" i="1"/>
  <c r="I130" i="1"/>
  <c r="H130" i="1"/>
  <c r="G130" i="1"/>
  <c r="F130" i="1"/>
  <c r="E130" i="1"/>
  <c r="R129" i="1"/>
  <c r="Q129" i="1"/>
  <c r="P129" i="1"/>
  <c r="O129" i="1"/>
  <c r="N129" i="1"/>
  <c r="M129" i="1"/>
  <c r="L129" i="1"/>
  <c r="K129" i="1"/>
  <c r="J129" i="1"/>
  <c r="I129" i="1"/>
  <c r="H129" i="1"/>
  <c r="G129" i="1"/>
  <c r="F129" i="1"/>
  <c r="E129" i="1"/>
  <c r="R128" i="1"/>
  <c r="Q128" i="1"/>
  <c r="P128" i="1"/>
  <c r="O128" i="1"/>
  <c r="N128" i="1"/>
  <c r="M128" i="1"/>
  <c r="L128" i="1"/>
  <c r="K128" i="1"/>
  <c r="J128" i="1"/>
  <c r="I128" i="1"/>
  <c r="H128" i="1"/>
  <c r="G128" i="1"/>
  <c r="F128" i="1"/>
  <c r="E128" i="1"/>
  <c r="R127" i="1"/>
  <c r="Q127" i="1"/>
  <c r="P127" i="1"/>
  <c r="O127" i="1"/>
  <c r="N127" i="1"/>
  <c r="M127" i="1"/>
  <c r="L127" i="1"/>
  <c r="K127" i="1"/>
  <c r="J127" i="1"/>
  <c r="I127" i="1"/>
  <c r="H127" i="1"/>
  <c r="G127" i="1"/>
  <c r="F127" i="1"/>
  <c r="E127" i="1"/>
  <c r="R125" i="1"/>
  <c r="Q125" i="1"/>
  <c r="P125" i="1"/>
  <c r="O125" i="1"/>
  <c r="N125" i="1"/>
  <c r="M125" i="1"/>
  <c r="L125" i="1"/>
  <c r="K125" i="1"/>
  <c r="J125" i="1"/>
  <c r="I125" i="1"/>
  <c r="H125" i="1"/>
  <c r="G125" i="1"/>
  <c r="F125" i="1"/>
  <c r="E125" i="1"/>
  <c r="R124" i="1"/>
  <c r="Q124" i="1"/>
  <c r="P124" i="1"/>
  <c r="O124" i="1"/>
  <c r="N124" i="1"/>
  <c r="M124" i="1"/>
  <c r="L124" i="1"/>
  <c r="K124" i="1"/>
  <c r="J124" i="1"/>
  <c r="I124" i="1"/>
  <c r="H124" i="1"/>
  <c r="G124" i="1"/>
  <c r="F124" i="1"/>
  <c r="E124" i="1"/>
  <c r="R123" i="1"/>
  <c r="Q123" i="1"/>
  <c r="P123" i="1"/>
  <c r="O123" i="1"/>
  <c r="N123" i="1"/>
  <c r="M123" i="1"/>
  <c r="L123" i="1"/>
  <c r="K123" i="1"/>
  <c r="J123" i="1"/>
  <c r="I123" i="1"/>
  <c r="H123" i="1"/>
  <c r="G123" i="1"/>
  <c r="F123" i="1"/>
  <c r="E123" i="1"/>
  <c r="R122" i="1"/>
  <c r="Q122" i="1"/>
  <c r="P122" i="1"/>
  <c r="O122" i="1"/>
  <c r="N122" i="1"/>
  <c r="M122" i="1"/>
  <c r="L122" i="1"/>
  <c r="K122" i="1"/>
  <c r="J122" i="1"/>
  <c r="I122" i="1"/>
  <c r="H122" i="1"/>
  <c r="G122" i="1"/>
  <c r="F122" i="1"/>
  <c r="E122" i="1"/>
  <c r="R121" i="1"/>
  <c r="Q121" i="1"/>
  <c r="P121" i="1"/>
  <c r="O121" i="1"/>
  <c r="N121" i="1"/>
  <c r="M121" i="1"/>
  <c r="L121" i="1"/>
  <c r="K121" i="1"/>
  <c r="J121" i="1"/>
  <c r="I121" i="1"/>
  <c r="H121" i="1"/>
  <c r="G121" i="1"/>
  <c r="F121" i="1"/>
  <c r="E121" i="1"/>
  <c r="R119" i="1"/>
  <c r="Q119" i="1"/>
  <c r="P119" i="1"/>
  <c r="O119" i="1"/>
  <c r="N119" i="1"/>
  <c r="M119" i="1"/>
  <c r="L119" i="1"/>
  <c r="K119" i="1"/>
  <c r="J119" i="1"/>
  <c r="I119" i="1"/>
  <c r="R118" i="1"/>
  <c r="Q118" i="1"/>
  <c r="P118" i="1"/>
  <c r="O118" i="1"/>
  <c r="N118" i="1"/>
  <c r="M118" i="1"/>
  <c r="L118" i="1"/>
  <c r="K118" i="1"/>
  <c r="J118" i="1"/>
  <c r="I118" i="1"/>
  <c r="H118" i="1"/>
  <c r="G118" i="1"/>
  <c r="F118" i="1"/>
  <c r="E118" i="1"/>
  <c r="R117" i="1"/>
  <c r="Q117" i="1"/>
  <c r="P117" i="1"/>
  <c r="O117" i="1"/>
  <c r="N117" i="1"/>
  <c r="M117" i="1"/>
  <c r="L117" i="1"/>
  <c r="K117" i="1"/>
  <c r="J117" i="1"/>
  <c r="I117" i="1"/>
  <c r="H117" i="1"/>
  <c r="G117" i="1"/>
  <c r="F117" i="1"/>
  <c r="E117" i="1"/>
  <c r="R116" i="1"/>
  <c r="Q116" i="1"/>
  <c r="P116" i="1"/>
  <c r="O116" i="1"/>
  <c r="N116" i="1"/>
  <c r="M116" i="1"/>
  <c r="L116" i="1"/>
  <c r="K116" i="1"/>
  <c r="J116" i="1"/>
  <c r="I116" i="1"/>
  <c r="H116" i="1"/>
  <c r="G116" i="1"/>
  <c r="F116" i="1"/>
  <c r="E116" i="1"/>
  <c r="R115" i="1"/>
  <c r="Q115" i="1"/>
  <c r="P115" i="1"/>
  <c r="O115" i="1"/>
  <c r="N115" i="1"/>
  <c r="M115" i="1"/>
  <c r="L115" i="1"/>
  <c r="K115" i="1"/>
  <c r="J115" i="1"/>
  <c r="I115" i="1"/>
  <c r="H115" i="1"/>
  <c r="G115" i="1"/>
  <c r="F115" i="1"/>
  <c r="E115" i="1"/>
  <c r="R113" i="1"/>
  <c r="Q113" i="1"/>
  <c r="R112" i="1"/>
  <c r="Q112" i="1"/>
  <c r="P112" i="1"/>
  <c r="O112" i="1"/>
  <c r="N112" i="1"/>
  <c r="M112" i="1"/>
  <c r="L112" i="1"/>
  <c r="K112" i="1"/>
  <c r="J112" i="1"/>
  <c r="I112" i="1"/>
  <c r="H112" i="1"/>
  <c r="G112" i="1"/>
  <c r="F112" i="1"/>
  <c r="E112" i="1"/>
  <c r="R111" i="1"/>
  <c r="Q111" i="1"/>
  <c r="P111" i="1"/>
  <c r="O111" i="1"/>
  <c r="N111" i="1"/>
  <c r="M111" i="1"/>
  <c r="L111" i="1"/>
  <c r="K111" i="1"/>
  <c r="J111" i="1"/>
  <c r="I111" i="1"/>
  <c r="H111" i="1"/>
  <c r="G111" i="1"/>
  <c r="F111" i="1"/>
  <c r="E111" i="1"/>
  <c r="R110" i="1"/>
  <c r="Q110" i="1"/>
  <c r="P110" i="1"/>
  <c r="O110" i="1"/>
  <c r="N110" i="1"/>
  <c r="M110" i="1"/>
  <c r="L110" i="1"/>
  <c r="K110" i="1"/>
  <c r="J110" i="1"/>
  <c r="I110" i="1"/>
  <c r="H110" i="1"/>
  <c r="G110" i="1"/>
  <c r="F110" i="1"/>
  <c r="E110" i="1"/>
  <c r="R109" i="1"/>
  <c r="Q109" i="1"/>
  <c r="P109" i="1"/>
  <c r="O109" i="1"/>
  <c r="N109" i="1"/>
  <c r="M109" i="1"/>
  <c r="L109" i="1"/>
  <c r="K109" i="1"/>
  <c r="J109" i="1"/>
  <c r="I109" i="1"/>
  <c r="H109" i="1"/>
  <c r="G109" i="1"/>
  <c r="F109" i="1"/>
  <c r="E109" i="1"/>
  <c r="R107" i="1"/>
  <c r="Q107" i="1"/>
  <c r="P107" i="1"/>
  <c r="O107" i="1"/>
  <c r="R106" i="1"/>
  <c r="Q106" i="1"/>
  <c r="P106" i="1"/>
  <c r="O106" i="1"/>
  <c r="N106" i="1"/>
  <c r="M106" i="1"/>
  <c r="L106" i="1"/>
  <c r="K106" i="1"/>
  <c r="J106" i="1"/>
  <c r="I106" i="1"/>
  <c r="H106" i="1"/>
  <c r="G106" i="1"/>
  <c r="F106" i="1"/>
  <c r="E106" i="1"/>
  <c r="R105" i="1"/>
  <c r="Q105" i="1"/>
  <c r="P105" i="1"/>
  <c r="O105" i="1"/>
  <c r="N105" i="1"/>
  <c r="M105" i="1"/>
  <c r="L105" i="1"/>
  <c r="K105" i="1"/>
  <c r="J105" i="1"/>
  <c r="I105" i="1"/>
  <c r="H105" i="1"/>
  <c r="G105" i="1"/>
  <c r="F105" i="1"/>
  <c r="E105" i="1"/>
  <c r="R104" i="1"/>
  <c r="Q104" i="1"/>
  <c r="P104" i="1"/>
  <c r="O104" i="1"/>
  <c r="N104" i="1"/>
  <c r="M104" i="1"/>
  <c r="L104" i="1"/>
  <c r="K104" i="1"/>
  <c r="J104" i="1"/>
  <c r="I104" i="1"/>
  <c r="H104" i="1"/>
  <c r="G104" i="1"/>
  <c r="F104" i="1"/>
  <c r="E104" i="1"/>
  <c r="R103" i="1"/>
  <c r="Q103" i="1"/>
  <c r="P103" i="1"/>
  <c r="O103" i="1"/>
  <c r="N103" i="1"/>
  <c r="M103" i="1"/>
  <c r="L103" i="1"/>
  <c r="K103" i="1"/>
  <c r="J103" i="1"/>
  <c r="I103" i="1"/>
  <c r="H103" i="1"/>
  <c r="G103" i="1"/>
  <c r="F103" i="1"/>
  <c r="E103" i="1"/>
  <c r="R101" i="1"/>
  <c r="Q101" i="1"/>
  <c r="R100" i="1"/>
  <c r="Q100" i="1"/>
  <c r="P100" i="1"/>
  <c r="O100" i="1"/>
  <c r="N100" i="1"/>
  <c r="M100" i="1"/>
  <c r="L100" i="1"/>
  <c r="K100" i="1"/>
  <c r="J100" i="1"/>
  <c r="I100" i="1"/>
  <c r="H100" i="1"/>
  <c r="G100" i="1"/>
  <c r="F100" i="1"/>
  <c r="E100" i="1"/>
  <c r="R99" i="1"/>
  <c r="Q99" i="1"/>
  <c r="P99" i="1"/>
  <c r="O99" i="1"/>
  <c r="N99" i="1"/>
  <c r="M99" i="1"/>
  <c r="L99" i="1"/>
  <c r="K99" i="1"/>
  <c r="J99" i="1"/>
  <c r="I99" i="1"/>
  <c r="H99" i="1"/>
  <c r="G99" i="1"/>
  <c r="F99" i="1"/>
  <c r="E99" i="1"/>
  <c r="R98" i="1"/>
  <c r="Q98" i="1"/>
  <c r="P98" i="1"/>
  <c r="O98" i="1"/>
  <c r="N98" i="1"/>
  <c r="M98" i="1"/>
  <c r="L98" i="1"/>
  <c r="K98" i="1"/>
  <c r="J98" i="1"/>
  <c r="I98" i="1"/>
  <c r="H98" i="1"/>
  <c r="G98" i="1"/>
  <c r="F98" i="1"/>
  <c r="E98" i="1"/>
  <c r="R97" i="1"/>
  <c r="Q97" i="1"/>
  <c r="P97" i="1"/>
  <c r="O97" i="1"/>
  <c r="N97" i="1"/>
  <c r="M97" i="1"/>
  <c r="L97" i="1"/>
  <c r="K97" i="1"/>
  <c r="J97" i="1"/>
  <c r="I97" i="1"/>
  <c r="H97" i="1"/>
  <c r="G97" i="1"/>
  <c r="F97" i="1"/>
  <c r="E97" i="1"/>
  <c r="R95" i="1"/>
  <c r="Q95" i="1"/>
  <c r="P95" i="1"/>
  <c r="O95" i="1"/>
  <c r="R94" i="1"/>
  <c r="Q94" i="1"/>
  <c r="P94" i="1"/>
  <c r="O94" i="1"/>
  <c r="N94" i="1"/>
  <c r="M94" i="1"/>
  <c r="L94" i="1"/>
  <c r="K94" i="1"/>
  <c r="J94" i="1"/>
  <c r="I94" i="1"/>
  <c r="H94" i="1"/>
  <c r="G94" i="1"/>
  <c r="F94" i="1"/>
  <c r="E94" i="1"/>
  <c r="R93" i="1"/>
  <c r="Q93" i="1"/>
  <c r="P93" i="1"/>
  <c r="O93" i="1"/>
  <c r="N93" i="1"/>
  <c r="M93" i="1"/>
  <c r="L93" i="1"/>
  <c r="K93" i="1"/>
  <c r="J93" i="1"/>
  <c r="I93" i="1"/>
  <c r="H93" i="1"/>
  <c r="G93" i="1"/>
  <c r="F93" i="1"/>
  <c r="E93" i="1"/>
  <c r="R92" i="1"/>
  <c r="Q92" i="1"/>
  <c r="P92" i="1"/>
  <c r="O92" i="1"/>
  <c r="N92" i="1"/>
  <c r="M92" i="1"/>
  <c r="L92" i="1"/>
  <c r="K92" i="1"/>
  <c r="J92" i="1"/>
  <c r="I92" i="1"/>
  <c r="H92" i="1"/>
  <c r="G92" i="1"/>
  <c r="F92" i="1"/>
  <c r="E92" i="1"/>
  <c r="R91" i="1"/>
  <c r="Q91" i="1"/>
  <c r="P91" i="1"/>
  <c r="O91" i="1"/>
  <c r="N91" i="1"/>
  <c r="M91" i="1"/>
  <c r="L91" i="1"/>
  <c r="K91" i="1"/>
  <c r="J91" i="1"/>
  <c r="I91" i="1"/>
  <c r="H91" i="1"/>
  <c r="G91" i="1"/>
  <c r="F91" i="1"/>
  <c r="E91" i="1"/>
  <c r="R89" i="1"/>
  <c r="Q89" i="1"/>
  <c r="P89" i="1"/>
  <c r="O89" i="1"/>
  <c r="R88" i="1"/>
  <c r="Q88" i="1"/>
  <c r="P88" i="1"/>
  <c r="O88" i="1"/>
  <c r="N88" i="1"/>
  <c r="M88" i="1"/>
  <c r="L88" i="1"/>
  <c r="K88" i="1"/>
  <c r="J88" i="1"/>
  <c r="I88" i="1"/>
  <c r="H88" i="1"/>
  <c r="G88" i="1"/>
  <c r="F88" i="1"/>
  <c r="E88" i="1"/>
  <c r="R87" i="1"/>
  <c r="Q87" i="1"/>
  <c r="P87" i="1"/>
  <c r="O87" i="1"/>
  <c r="N87" i="1"/>
  <c r="M87" i="1"/>
  <c r="L87" i="1"/>
  <c r="K87" i="1"/>
  <c r="J87" i="1"/>
  <c r="I87" i="1"/>
  <c r="H87" i="1"/>
  <c r="G87" i="1"/>
  <c r="F87" i="1"/>
  <c r="E87" i="1"/>
  <c r="R86" i="1"/>
  <c r="Q86" i="1"/>
  <c r="P86" i="1"/>
  <c r="O86" i="1"/>
  <c r="N86" i="1"/>
  <c r="M86" i="1"/>
  <c r="L86" i="1"/>
  <c r="K86" i="1"/>
  <c r="J86" i="1"/>
  <c r="I86" i="1"/>
  <c r="H86" i="1"/>
  <c r="G86" i="1"/>
  <c r="F86" i="1"/>
  <c r="E86" i="1"/>
  <c r="R85" i="1"/>
  <c r="Q85" i="1"/>
  <c r="P85" i="1"/>
  <c r="O85" i="1"/>
  <c r="N85" i="1"/>
  <c r="M85" i="1"/>
  <c r="L85" i="1"/>
  <c r="K85" i="1"/>
  <c r="J85" i="1"/>
  <c r="I85" i="1"/>
  <c r="H85" i="1"/>
  <c r="G85" i="1"/>
  <c r="F85" i="1"/>
  <c r="E85" i="1"/>
  <c r="R83" i="1"/>
  <c r="Q83" i="1"/>
  <c r="P83" i="1"/>
  <c r="O83" i="1"/>
  <c r="R82" i="1"/>
  <c r="Q82" i="1"/>
  <c r="P82" i="1"/>
  <c r="O82" i="1"/>
  <c r="N82" i="1"/>
  <c r="M82" i="1"/>
  <c r="L82" i="1"/>
  <c r="K82" i="1"/>
  <c r="J82" i="1"/>
  <c r="I82" i="1"/>
  <c r="H82" i="1"/>
  <c r="G82" i="1"/>
  <c r="F82" i="1"/>
  <c r="E82" i="1"/>
  <c r="R81" i="1"/>
  <c r="Q81" i="1"/>
  <c r="P81" i="1"/>
  <c r="O81" i="1"/>
  <c r="N81" i="1"/>
  <c r="M81" i="1"/>
  <c r="L81" i="1"/>
  <c r="K81" i="1"/>
  <c r="J81" i="1"/>
  <c r="I81" i="1"/>
  <c r="H81" i="1"/>
  <c r="G81" i="1"/>
  <c r="F81" i="1"/>
  <c r="E81" i="1"/>
  <c r="R80" i="1"/>
  <c r="Q80" i="1"/>
  <c r="P80" i="1"/>
  <c r="O80" i="1"/>
  <c r="N80" i="1"/>
  <c r="M80" i="1"/>
  <c r="L80" i="1"/>
  <c r="K80" i="1"/>
  <c r="J80" i="1"/>
  <c r="I80" i="1"/>
  <c r="H80" i="1"/>
  <c r="G80" i="1"/>
  <c r="F80" i="1"/>
  <c r="E80" i="1"/>
  <c r="R79" i="1"/>
  <c r="Q79" i="1"/>
  <c r="P79" i="1"/>
  <c r="O79" i="1"/>
  <c r="N79" i="1"/>
  <c r="M79" i="1"/>
  <c r="L79" i="1"/>
  <c r="K79" i="1"/>
  <c r="J79" i="1"/>
  <c r="I79" i="1"/>
  <c r="H79" i="1"/>
  <c r="G79" i="1"/>
  <c r="F79" i="1"/>
  <c r="E79" i="1"/>
  <c r="R77" i="1"/>
  <c r="Q77" i="1"/>
  <c r="P77" i="1"/>
  <c r="O77" i="1"/>
  <c r="N77" i="1"/>
  <c r="M77" i="1"/>
  <c r="L77" i="1"/>
  <c r="K77" i="1"/>
  <c r="J77" i="1"/>
  <c r="I77" i="1"/>
  <c r="H77" i="1"/>
  <c r="G77" i="1"/>
  <c r="F77" i="1"/>
  <c r="E77" i="1"/>
  <c r="R76" i="1"/>
  <c r="Q76" i="1"/>
  <c r="P76" i="1"/>
  <c r="O76" i="1"/>
  <c r="N76" i="1"/>
  <c r="M76" i="1"/>
  <c r="L76" i="1"/>
  <c r="K76" i="1"/>
  <c r="J76" i="1"/>
  <c r="I76" i="1"/>
  <c r="H76" i="1"/>
  <c r="G76" i="1"/>
  <c r="F76" i="1"/>
  <c r="E76" i="1"/>
  <c r="R75" i="1"/>
  <c r="Q75" i="1"/>
  <c r="P75" i="1"/>
  <c r="O75" i="1"/>
  <c r="N75" i="1"/>
  <c r="M75" i="1"/>
  <c r="L75" i="1"/>
  <c r="K75" i="1"/>
  <c r="J75" i="1"/>
  <c r="I75" i="1"/>
  <c r="H75" i="1"/>
  <c r="G75" i="1"/>
  <c r="F75" i="1"/>
  <c r="E75" i="1"/>
  <c r="R74" i="1"/>
  <c r="Q74" i="1"/>
  <c r="P74" i="1"/>
  <c r="O74" i="1"/>
  <c r="N74" i="1"/>
  <c r="M74" i="1"/>
  <c r="L74" i="1"/>
  <c r="K74" i="1"/>
  <c r="J74" i="1"/>
  <c r="I74" i="1"/>
  <c r="H74" i="1"/>
  <c r="G74" i="1"/>
  <c r="F74" i="1"/>
  <c r="E74" i="1"/>
  <c r="R73" i="1"/>
  <c r="Q73" i="1"/>
  <c r="P73" i="1"/>
  <c r="O73" i="1"/>
  <c r="N73" i="1"/>
  <c r="M73" i="1"/>
  <c r="L73" i="1"/>
  <c r="K73" i="1"/>
  <c r="J73" i="1"/>
  <c r="I73" i="1"/>
  <c r="H73" i="1"/>
  <c r="G73" i="1"/>
  <c r="F73" i="1"/>
  <c r="E73" i="1"/>
  <c r="R71" i="1"/>
  <c r="Q71" i="1"/>
  <c r="R70" i="1"/>
  <c r="Q70" i="1"/>
  <c r="P70" i="1"/>
  <c r="O70" i="1"/>
  <c r="N70" i="1"/>
  <c r="M70" i="1"/>
  <c r="L70" i="1"/>
  <c r="K70" i="1"/>
  <c r="J70" i="1"/>
  <c r="I70" i="1"/>
  <c r="H70" i="1"/>
  <c r="G70" i="1"/>
  <c r="F70" i="1"/>
  <c r="E70" i="1"/>
  <c r="R69" i="1"/>
  <c r="Q69" i="1"/>
  <c r="P69" i="1"/>
  <c r="O69" i="1"/>
  <c r="N69" i="1"/>
  <c r="M69" i="1"/>
  <c r="L69" i="1"/>
  <c r="K69" i="1"/>
  <c r="J69" i="1"/>
  <c r="I69" i="1"/>
  <c r="H69" i="1"/>
  <c r="G69" i="1"/>
  <c r="F69" i="1"/>
  <c r="E69" i="1"/>
  <c r="R68" i="1"/>
  <c r="Q68" i="1"/>
  <c r="P68" i="1"/>
  <c r="O68" i="1"/>
  <c r="N68" i="1"/>
  <c r="M68" i="1"/>
  <c r="L68" i="1"/>
  <c r="K68" i="1"/>
  <c r="J68" i="1"/>
  <c r="I68" i="1"/>
  <c r="H68" i="1"/>
  <c r="G68" i="1"/>
  <c r="F68" i="1"/>
  <c r="E68" i="1"/>
  <c r="R67" i="1"/>
  <c r="Q67" i="1"/>
  <c r="P67" i="1"/>
  <c r="O67" i="1"/>
  <c r="N67" i="1"/>
  <c r="M67" i="1"/>
  <c r="L67" i="1"/>
  <c r="K67" i="1"/>
  <c r="J67" i="1"/>
  <c r="I67" i="1"/>
  <c r="H67" i="1"/>
  <c r="G67" i="1"/>
  <c r="F67" i="1"/>
  <c r="E67" i="1"/>
  <c r="R65" i="1"/>
  <c r="Q65" i="1"/>
  <c r="P65" i="1"/>
  <c r="O65" i="1"/>
  <c r="N65" i="1"/>
  <c r="M65" i="1"/>
  <c r="L65" i="1"/>
  <c r="K65" i="1"/>
  <c r="J65" i="1"/>
  <c r="I65" i="1"/>
  <c r="H65" i="1"/>
  <c r="G65" i="1"/>
  <c r="F65" i="1"/>
  <c r="E65" i="1"/>
  <c r="R64" i="1"/>
  <c r="Q64" i="1"/>
  <c r="P64" i="1"/>
  <c r="O64" i="1"/>
  <c r="N64" i="1"/>
  <c r="M64" i="1"/>
  <c r="L64" i="1"/>
  <c r="K64" i="1"/>
  <c r="J64" i="1"/>
  <c r="I64" i="1"/>
  <c r="H64" i="1"/>
  <c r="G64" i="1"/>
  <c r="F64" i="1"/>
  <c r="E64" i="1"/>
  <c r="R63" i="1"/>
  <c r="Q63" i="1"/>
  <c r="P63" i="1"/>
  <c r="O63" i="1"/>
  <c r="N63" i="1"/>
  <c r="M63" i="1"/>
  <c r="L63" i="1"/>
  <c r="K63" i="1"/>
  <c r="J63" i="1"/>
  <c r="I63" i="1"/>
  <c r="H63" i="1"/>
  <c r="G63" i="1"/>
  <c r="F63" i="1"/>
  <c r="E63" i="1"/>
  <c r="R62" i="1"/>
  <c r="Q62" i="1"/>
  <c r="P62" i="1"/>
  <c r="O62" i="1"/>
  <c r="N62" i="1"/>
  <c r="M62" i="1"/>
  <c r="L62" i="1"/>
  <c r="K62" i="1"/>
  <c r="J62" i="1"/>
  <c r="I62" i="1"/>
  <c r="H62" i="1"/>
  <c r="G62" i="1"/>
  <c r="F62" i="1"/>
  <c r="E62" i="1"/>
  <c r="R61" i="1"/>
  <c r="Q61" i="1"/>
  <c r="P61" i="1"/>
  <c r="O61" i="1"/>
  <c r="N61" i="1"/>
  <c r="M61" i="1"/>
  <c r="L61" i="1"/>
  <c r="K61" i="1"/>
  <c r="J61" i="1"/>
  <c r="I61" i="1"/>
  <c r="H61" i="1"/>
  <c r="G61" i="1"/>
  <c r="F61" i="1"/>
  <c r="E61" i="1"/>
  <c r="R59" i="1"/>
  <c r="Q59" i="1"/>
  <c r="F59" i="1"/>
  <c r="E59" i="1"/>
  <c r="R58" i="1"/>
  <c r="Q58" i="1"/>
  <c r="P58" i="1"/>
  <c r="O58" i="1"/>
  <c r="N58" i="1"/>
  <c r="M58" i="1"/>
  <c r="L58" i="1"/>
  <c r="K58" i="1"/>
  <c r="J58" i="1"/>
  <c r="I58" i="1"/>
  <c r="H58" i="1"/>
  <c r="G58" i="1"/>
  <c r="F58" i="1"/>
  <c r="E58" i="1"/>
  <c r="R57" i="1"/>
  <c r="Q57" i="1"/>
  <c r="P57" i="1"/>
  <c r="O57" i="1"/>
  <c r="N57" i="1"/>
  <c r="M57" i="1"/>
  <c r="L57" i="1"/>
  <c r="K57" i="1"/>
  <c r="J57" i="1"/>
  <c r="I57" i="1"/>
  <c r="H57" i="1"/>
  <c r="G57" i="1"/>
  <c r="F57" i="1"/>
  <c r="E57" i="1"/>
  <c r="R56" i="1"/>
  <c r="Q56" i="1"/>
  <c r="P56" i="1"/>
  <c r="O56" i="1"/>
  <c r="N56" i="1"/>
  <c r="M56" i="1"/>
  <c r="L56" i="1"/>
  <c r="K56" i="1"/>
  <c r="J56" i="1"/>
  <c r="I56" i="1"/>
  <c r="H56" i="1"/>
  <c r="G56" i="1"/>
  <c r="F56" i="1"/>
  <c r="E56" i="1"/>
  <c r="R55" i="1"/>
  <c r="Q55" i="1"/>
  <c r="P55" i="1"/>
  <c r="O55" i="1"/>
  <c r="N55" i="1"/>
  <c r="M55" i="1"/>
  <c r="L55" i="1"/>
  <c r="K55" i="1"/>
  <c r="J55" i="1"/>
  <c r="I55" i="1"/>
  <c r="H55" i="1"/>
  <c r="G55" i="1"/>
  <c r="F55" i="1"/>
  <c r="E55" i="1"/>
  <c r="R53" i="1"/>
  <c r="Q53" i="1"/>
  <c r="P53" i="1"/>
  <c r="O53" i="1"/>
  <c r="N53" i="1"/>
  <c r="M53" i="1"/>
  <c r="L53" i="1"/>
  <c r="K53" i="1"/>
  <c r="J53" i="1"/>
  <c r="I53" i="1"/>
  <c r="H53" i="1"/>
  <c r="G53" i="1"/>
  <c r="F53" i="1"/>
  <c r="E53" i="1"/>
  <c r="R52" i="1"/>
  <c r="Q52" i="1"/>
  <c r="P52" i="1"/>
  <c r="O52" i="1"/>
  <c r="N52" i="1"/>
  <c r="M52" i="1"/>
  <c r="L52" i="1"/>
  <c r="K52" i="1"/>
  <c r="J52" i="1"/>
  <c r="I52" i="1"/>
  <c r="H52" i="1"/>
  <c r="G52" i="1"/>
  <c r="F52" i="1"/>
  <c r="E52" i="1"/>
  <c r="R51" i="1"/>
  <c r="Q51" i="1"/>
  <c r="P51" i="1"/>
  <c r="O51" i="1"/>
  <c r="N51" i="1"/>
  <c r="M51" i="1"/>
  <c r="L51" i="1"/>
  <c r="K51" i="1"/>
  <c r="J51" i="1"/>
  <c r="I51" i="1"/>
  <c r="H51" i="1"/>
  <c r="G51" i="1"/>
  <c r="F51" i="1"/>
  <c r="E51" i="1"/>
  <c r="R50" i="1"/>
  <c r="Q50" i="1"/>
  <c r="P50" i="1"/>
  <c r="O50" i="1"/>
  <c r="N50" i="1"/>
  <c r="M50" i="1"/>
  <c r="L50" i="1"/>
  <c r="K50" i="1"/>
  <c r="J50" i="1"/>
  <c r="I50" i="1"/>
  <c r="H50" i="1"/>
  <c r="G50" i="1"/>
  <c r="F50" i="1"/>
  <c r="E50" i="1"/>
  <c r="R49" i="1"/>
  <c r="Q49" i="1"/>
  <c r="P49" i="1"/>
  <c r="O49" i="1"/>
  <c r="N49" i="1"/>
  <c r="M49" i="1"/>
  <c r="L49" i="1"/>
  <c r="K49" i="1"/>
  <c r="J49" i="1"/>
  <c r="I49" i="1"/>
  <c r="H49" i="1"/>
  <c r="G49" i="1"/>
  <c r="F49" i="1"/>
  <c r="E49" i="1"/>
  <c r="R47" i="1"/>
  <c r="Q47" i="1"/>
  <c r="P47" i="1"/>
  <c r="O47" i="1"/>
  <c r="N47" i="1"/>
  <c r="M47" i="1"/>
  <c r="L47" i="1"/>
  <c r="K47" i="1"/>
  <c r="J47" i="1"/>
  <c r="I47" i="1"/>
  <c r="H47" i="1"/>
  <c r="G47" i="1"/>
  <c r="F47" i="1"/>
  <c r="E47" i="1"/>
  <c r="R46" i="1"/>
  <c r="Q46" i="1"/>
  <c r="P46" i="1"/>
  <c r="O46" i="1"/>
  <c r="N46" i="1"/>
  <c r="M46" i="1"/>
  <c r="L46" i="1"/>
  <c r="K46" i="1"/>
  <c r="J46" i="1"/>
  <c r="I46" i="1"/>
  <c r="H46" i="1"/>
  <c r="G46" i="1"/>
  <c r="F46" i="1"/>
  <c r="E46" i="1"/>
  <c r="R45" i="1"/>
  <c r="Q45" i="1"/>
  <c r="P45" i="1"/>
  <c r="O45" i="1"/>
  <c r="N45" i="1"/>
  <c r="M45" i="1"/>
  <c r="L45" i="1"/>
  <c r="K45" i="1"/>
  <c r="J45" i="1"/>
  <c r="I45" i="1"/>
  <c r="H45" i="1"/>
  <c r="G45" i="1"/>
  <c r="F45" i="1"/>
  <c r="E45" i="1"/>
  <c r="R44" i="1"/>
  <c r="Q44" i="1"/>
  <c r="P44" i="1"/>
  <c r="O44" i="1"/>
  <c r="N44" i="1"/>
  <c r="M44" i="1"/>
  <c r="L44" i="1"/>
  <c r="K44" i="1"/>
  <c r="J44" i="1"/>
  <c r="I44" i="1"/>
  <c r="H44" i="1"/>
  <c r="G44" i="1"/>
  <c r="F44" i="1"/>
  <c r="E44" i="1"/>
  <c r="R43" i="1"/>
  <c r="Q43" i="1"/>
  <c r="P43" i="1"/>
  <c r="O43" i="1"/>
  <c r="N43" i="1"/>
  <c r="M43" i="1"/>
  <c r="L43" i="1"/>
  <c r="K43" i="1"/>
  <c r="J43" i="1"/>
  <c r="I43" i="1"/>
  <c r="H43" i="1"/>
  <c r="G43" i="1"/>
  <c r="F43" i="1"/>
  <c r="E43" i="1"/>
  <c r="R40" i="1"/>
  <c r="Q40" i="1"/>
  <c r="P40" i="1"/>
  <c r="O40" i="1"/>
  <c r="N40" i="1"/>
  <c r="M40" i="1"/>
  <c r="L40" i="1"/>
  <c r="K40" i="1"/>
  <c r="J40" i="1"/>
  <c r="I40" i="1"/>
  <c r="H40" i="1"/>
  <c r="G40" i="1"/>
  <c r="F40" i="1"/>
  <c r="E40" i="1"/>
  <c r="R39" i="1"/>
  <c r="Q39" i="1"/>
  <c r="P39" i="1"/>
  <c r="O39" i="1"/>
  <c r="N39" i="1"/>
  <c r="M39" i="1"/>
  <c r="L39" i="1"/>
  <c r="K39" i="1"/>
  <c r="J39" i="1"/>
  <c r="I39" i="1"/>
  <c r="H39" i="1"/>
  <c r="G39" i="1"/>
  <c r="F39" i="1"/>
  <c r="E39" i="1"/>
  <c r="R38" i="1"/>
  <c r="Q38" i="1"/>
  <c r="P38" i="1"/>
  <c r="O38" i="1"/>
  <c r="N38" i="1"/>
  <c r="M38" i="1"/>
  <c r="L38" i="1"/>
  <c r="K38" i="1"/>
  <c r="J38" i="1"/>
  <c r="I38" i="1"/>
  <c r="H38" i="1"/>
  <c r="G38" i="1"/>
  <c r="F38" i="1"/>
  <c r="E38" i="1"/>
  <c r="R37" i="1"/>
  <c r="Q37" i="1"/>
  <c r="P37" i="1"/>
  <c r="O37" i="1"/>
  <c r="N37" i="1"/>
  <c r="M37" i="1"/>
  <c r="L37" i="1"/>
  <c r="K37" i="1"/>
  <c r="J37" i="1"/>
  <c r="I37" i="1"/>
  <c r="H37" i="1"/>
  <c r="G37" i="1"/>
  <c r="F37" i="1"/>
  <c r="E37" i="1"/>
  <c r="R34" i="1"/>
  <c r="Q34" i="1"/>
  <c r="P34" i="1"/>
  <c r="O34" i="1"/>
  <c r="N34" i="1"/>
  <c r="M34" i="1"/>
  <c r="L34" i="1"/>
  <c r="K34" i="1"/>
  <c r="J34" i="1"/>
  <c r="I34" i="1"/>
  <c r="H34" i="1"/>
  <c r="G34" i="1"/>
  <c r="F34" i="1"/>
  <c r="E34" i="1"/>
  <c r="R33" i="1"/>
  <c r="Q33" i="1"/>
  <c r="P33" i="1"/>
  <c r="O33" i="1"/>
  <c r="N33" i="1"/>
  <c r="M33" i="1"/>
  <c r="L33" i="1"/>
  <c r="K33" i="1"/>
  <c r="J33" i="1"/>
  <c r="I33" i="1"/>
  <c r="H33" i="1"/>
  <c r="G33" i="1"/>
  <c r="F33" i="1"/>
  <c r="E33" i="1"/>
  <c r="R32" i="1"/>
  <c r="Q32" i="1"/>
  <c r="P32" i="1"/>
  <c r="O32" i="1"/>
  <c r="N32" i="1"/>
  <c r="M32" i="1"/>
  <c r="L32" i="1"/>
  <c r="K32" i="1"/>
  <c r="J32" i="1"/>
  <c r="I32" i="1"/>
  <c r="H32" i="1"/>
  <c r="G32" i="1"/>
  <c r="F32" i="1"/>
  <c r="E32" i="1"/>
  <c r="R31" i="1"/>
  <c r="Q31" i="1"/>
  <c r="P31" i="1"/>
  <c r="O31" i="1"/>
  <c r="N31" i="1"/>
  <c r="M31" i="1"/>
  <c r="L31" i="1"/>
  <c r="K31" i="1"/>
  <c r="J31" i="1"/>
  <c r="I31" i="1"/>
  <c r="H31" i="1"/>
  <c r="G31" i="1"/>
  <c r="F31" i="1"/>
  <c r="E31" i="1"/>
  <c r="R28" i="1"/>
  <c r="Q28" i="1"/>
  <c r="P28" i="1"/>
  <c r="O28" i="1"/>
  <c r="N28" i="1"/>
  <c r="M28" i="1"/>
  <c r="L28" i="1"/>
  <c r="K28" i="1"/>
  <c r="J28" i="1"/>
  <c r="I28" i="1"/>
  <c r="H28" i="1"/>
  <c r="G28" i="1"/>
  <c r="F28" i="1"/>
  <c r="E28" i="1"/>
  <c r="R27" i="1"/>
  <c r="Q27" i="1"/>
  <c r="P27" i="1"/>
  <c r="O27" i="1"/>
  <c r="N27" i="1"/>
  <c r="M27" i="1"/>
  <c r="L27" i="1"/>
  <c r="K27" i="1"/>
  <c r="J27" i="1"/>
  <c r="I27" i="1"/>
  <c r="H27" i="1"/>
  <c r="G27" i="1"/>
  <c r="F27" i="1"/>
  <c r="E27" i="1"/>
  <c r="R26" i="1"/>
  <c r="Q26" i="1"/>
  <c r="P26" i="1"/>
  <c r="O26" i="1"/>
  <c r="N26" i="1"/>
  <c r="M26" i="1"/>
  <c r="L26" i="1"/>
  <c r="K26" i="1"/>
  <c r="J26" i="1"/>
  <c r="I26" i="1"/>
  <c r="H26" i="1"/>
  <c r="G26" i="1"/>
  <c r="F26" i="1"/>
  <c r="E26" i="1"/>
  <c r="R25" i="1"/>
  <c r="Q25" i="1"/>
  <c r="P25" i="1"/>
  <c r="O25" i="1"/>
  <c r="N25" i="1"/>
  <c r="M25" i="1"/>
  <c r="L25" i="1"/>
  <c r="K25" i="1"/>
  <c r="J25" i="1"/>
  <c r="I25" i="1"/>
  <c r="H25" i="1"/>
  <c r="G25" i="1"/>
  <c r="F25" i="1"/>
  <c r="E25" i="1"/>
  <c r="R22" i="1"/>
  <c r="Q22" i="1"/>
  <c r="P22" i="1"/>
  <c r="O22" i="1"/>
  <c r="N22" i="1"/>
  <c r="M22" i="1"/>
  <c r="L22" i="1"/>
  <c r="K22" i="1"/>
  <c r="J22" i="1"/>
  <c r="I22" i="1"/>
  <c r="H22" i="1"/>
  <c r="G22" i="1"/>
  <c r="F22" i="1"/>
  <c r="E22" i="1"/>
  <c r="R21" i="1"/>
  <c r="Q21" i="1"/>
  <c r="P21" i="1"/>
  <c r="O21" i="1"/>
  <c r="N21" i="1"/>
  <c r="M21" i="1"/>
  <c r="L21" i="1"/>
  <c r="K21" i="1"/>
  <c r="J21" i="1"/>
  <c r="I21" i="1"/>
  <c r="H21" i="1"/>
  <c r="G21" i="1"/>
  <c r="F21" i="1"/>
  <c r="E21" i="1"/>
  <c r="R20" i="1"/>
  <c r="Q20" i="1"/>
  <c r="P20" i="1"/>
  <c r="O20" i="1"/>
  <c r="N20" i="1"/>
  <c r="M20" i="1"/>
  <c r="L20" i="1"/>
  <c r="K20" i="1"/>
  <c r="J20" i="1"/>
  <c r="I20" i="1"/>
  <c r="H20" i="1"/>
  <c r="G20" i="1"/>
  <c r="F20" i="1"/>
  <c r="E20" i="1"/>
  <c r="R19" i="1"/>
  <c r="Q19" i="1"/>
  <c r="P19" i="1"/>
  <c r="O19" i="1"/>
  <c r="N19" i="1"/>
  <c r="M19" i="1"/>
  <c r="L19" i="1"/>
  <c r="K19" i="1"/>
  <c r="J19" i="1"/>
  <c r="I19" i="1"/>
  <c r="H19" i="1"/>
  <c r="G19" i="1"/>
  <c r="F19" i="1"/>
  <c r="E19" i="1"/>
  <c r="R16" i="1"/>
  <c r="Q16" i="1"/>
  <c r="P16" i="1"/>
  <c r="O16" i="1"/>
  <c r="N16" i="1"/>
  <c r="M16" i="1"/>
  <c r="L16" i="1"/>
  <c r="K16" i="1"/>
  <c r="J16" i="1"/>
  <c r="I16" i="1"/>
  <c r="H16" i="1"/>
  <c r="G16" i="1"/>
  <c r="F16" i="1"/>
  <c r="E16" i="1"/>
  <c r="R15" i="1"/>
  <c r="Q15" i="1"/>
  <c r="P15" i="1"/>
  <c r="O15" i="1"/>
  <c r="N15" i="1"/>
  <c r="M15" i="1"/>
  <c r="L15" i="1"/>
  <c r="K15" i="1"/>
  <c r="J15" i="1"/>
  <c r="I15" i="1"/>
  <c r="H15" i="1"/>
  <c r="G15" i="1"/>
  <c r="F15" i="1"/>
  <c r="E15" i="1"/>
  <c r="R14" i="1"/>
  <c r="Q14" i="1"/>
  <c r="P14" i="1"/>
  <c r="O14" i="1"/>
  <c r="N14" i="1"/>
  <c r="M14" i="1"/>
  <c r="L14" i="1"/>
  <c r="K14" i="1"/>
  <c r="J14" i="1"/>
  <c r="I14" i="1"/>
  <c r="H14" i="1"/>
  <c r="G14" i="1"/>
  <c r="F14" i="1"/>
  <c r="E14" i="1"/>
  <c r="R13" i="1"/>
  <c r="Q13" i="1"/>
  <c r="P13" i="1"/>
  <c r="O13" i="1"/>
  <c r="N13" i="1"/>
  <c r="M13" i="1"/>
  <c r="L13" i="1"/>
  <c r="K13" i="1"/>
  <c r="J13" i="1"/>
  <c r="I13" i="1"/>
  <c r="H13" i="1"/>
  <c r="G13" i="1"/>
  <c r="F13" i="1"/>
  <c r="E13" i="1"/>
  <c r="R10" i="1"/>
  <c r="Q10" i="1"/>
  <c r="P10" i="1"/>
  <c r="O10" i="1"/>
  <c r="N10" i="1"/>
  <c r="M10" i="1"/>
  <c r="L10" i="1"/>
  <c r="K10" i="1"/>
  <c r="J10" i="1"/>
  <c r="I10" i="1"/>
  <c r="H10" i="1"/>
  <c r="G10" i="1"/>
  <c r="F10" i="1"/>
  <c r="E10" i="1"/>
  <c r="R9" i="1"/>
  <c r="Q9" i="1"/>
  <c r="P9" i="1"/>
  <c r="O9" i="1"/>
  <c r="N9" i="1"/>
  <c r="M9" i="1"/>
  <c r="L9" i="1"/>
  <c r="K9" i="1"/>
  <c r="J9" i="1"/>
  <c r="I9" i="1"/>
  <c r="H9" i="1"/>
  <c r="G9" i="1"/>
  <c r="F9" i="1"/>
  <c r="E9" i="1"/>
  <c r="R8" i="1"/>
  <c r="Q8" i="1"/>
  <c r="P8" i="1"/>
  <c r="O8" i="1"/>
  <c r="N8" i="1"/>
  <c r="M8" i="1"/>
  <c r="L8" i="1"/>
  <c r="K8" i="1"/>
  <c r="J8" i="1"/>
  <c r="I8" i="1"/>
  <c r="H8" i="1"/>
  <c r="G8" i="1"/>
  <c r="F8" i="1"/>
  <c r="E8" i="1"/>
  <c r="R7" i="1"/>
  <c r="Q7" i="1"/>
  <c r="P7" i="1"/>
  <c r="O7" i="1"/>
  <c r="N7" i="1"/>
  <c r="M7" i="1"/>
  <c r="L7" i="1"/>
  <c r="K7" i="1"/>
  <c r="J7" i="1"/>
  <c r="I7" i="1"/>
  <c r="H7" i="1"/>
  <c r="G7" i="1"/>
  <c r="F7" i="1"/>
  <c r="E7" i="1"/>
  <c r="D13" i="2" l="1"/>
  <c r="D16" i="2"/>
  <c r="D19" i="2"/>
  <c r="D22" i="2"/>
  <c r="D25" i="2"/>
  <c r="D28" i="2"/>
  <c r="D31" i="2"/>
  <c r="D34" i="2"/>
  <c r="D37" i="2"/>
  <c r="D40" i="2"/>
  <c r="D43" i="2"/>
  <c r="D46" i="2"/>
  <c r="D49" i="2"/>
  <c r="D52" i="2"/>
  <c r="D55" i="2"/>
  <c r="D58" i="2"/>
  <c r="D61" i="2"/>
  <c r="D64" i="2"/>
  <c r="D67" i="2"/>
  <c r="D70" i="2"/>
  <c r="D73" i="2"/>
  <c r="D76" i="2"/>
  <c r="D79" i="2"/>
  <c r="D150" i="1" l="1"/>
  <c r="D144" i="1"/>
  <c r="D138" i="1"/>
  <c r="D132" i="1"/>
  <c r="D126" i="1"/>
  <c r="D120" i="1"/>
  <c r="D114" i="1" l="1"/>
  <c r="D108" i="1"/>
  <c r="D102" i="1"/>
  <c r="D96" i="1"/>
  <c r="D90" i="1"/>
  <c r="D84" i="1"/>
  <c r="D78" i="1"/>
  <c r="D72" i="1"/>
  <c r="D66" i="1"/>
  <c r="D60" i="1"/>
  <c r="D54" i="1"/>
  <c r="D48" i="1"/>
  <c r="D10" i="2" l="1"/>
  <c r="D18" i="1" l="1"/>
  <c r="D24" i="1"/>
  <c r="D30" i="1"/>
  <c r="D36" i="1"/>
  <c r="D42" i="1"/>
  <c r="D12" i="1"/>
</calcChain>
</file>

<file path=xl/sharedStrings.xml><?xml version="1.0" encoding="utf-8"?>
<sst xmlns="http://schemas.openxmlformats.org/spreadsheetml/2006/main" count="2202" uniqueCount="425">
  <si>
    <t>1 month</t>
  </si>
  <si>
    <t>1 year</t>
  </si>
  <si>
    <t>30+ months</t>
  </si>
  <si>
    <t>Men</t>
  </si>
  <si>
    <t>Women</t>
  </si>
  <si>
    <t>Couples with dependent children</t>
  </si>
  <si>
    <t>European</t>
  </si>
  <si>
    <t>Maori</t>
  </si>
  <si>
    <t>Pacific</t>
  </si>
  <si>
    <t>Asian</t>
  </si>
  <si>
    <t>MELAA</t>
  </si>
  <si>
    <t>%</t>
  </si>
  <si>
    <t>SE</t>
  </si>
  <si>
    <t>35.3</t>
  </si>
  <si>
    <t>(7.8)</t>
  </si>
  <si>
    <t>35.9</t>
  </si>
  <si>
    <t>(5.7)</t>
  </si>
  <si>
    <t>(2.9)</t>
  </si>
  <si>
    <t>(1.9)</t>
  </si>
  <si>
    <t>(6.5)</t>
  </si>
  <si>
    <t>(5.4)</t>
  </si>
  <si>
    <t>(6.6)</t>
  </si>
  <si>
    <t>36.0</t>
  </si>
  <si>
    <t>42.6</t>
  </si>
  <si>
    <t>(3.6)</t>
  </si>
  <si>
    <t>(1.8)</t>
  </si>
  <si>
    <t>(4.6)</t>
  </si>
  <si>
    <t>(4.7)</t>
  </si>
  <si>
    <t>12.9</t>
  </si>
  <si>
    <t>(5.0)</t>
  </si>
  <si>
    <t>17.8</t>
  </si>
  <si>
    <t>(5.2)</t>
  </si>
  <si>
    <t>18.6</t>
  </si>
  <si>
    <t>17.9</t>
  </si>
  <si>
    <t>(1.1)</t>
  </si>
  <si>
    <t>9.4</t>
  </si>
  <si>
    <t>(4.4)</t>
  </si>
  <si>
    <t>(4.2)</t>
  </si>
  <si>
    <t>8.1</t>
  </si>
  <si>
    <t>(3.2)</t>
  </si>
  <si>
    <t>(3.0)</t>
  </si>
  <si>
    <t>10.5</t>
  </si>
  <si>
    <t>(1.4)</t>
  </si>
  <si>
    <t>(0.9)</t>
  </si>
  <si>
    <t>(3.3)</t>
  </si>
  <si>
    <t>(0.4)</t>
  </si>
  <si>
    <t>2.6</t>
  </si>
  <si>
    <t>(1.6)</t>
  </si>
  <si>
    <t>10.8</t>
  </si>
  <si>
    <t>(5.8)</t>
  </si>
  <si>
    <t>(0.8)</t>
  </si>
  <si>
    <t>100.0</t>
  </si>
  <si>
    <t/>
  </si>
  <si>
    <t>(1.7)</t>
  </si>
  <si>
    <t>(1.2)</t>
  </si>
  <si>
    <t>(1.3)</t>
  </si>
  <si>
    <t>61.2</t>
  </si>
  <si>
    <t>(1.0)</t>
  </si>
  <si>
    <t>13.1</t>
  </si>
  <si>
    <t>(0.7)</t>
  </si>
  <si>
    <t>10.7</t>
  </si>
  <si>
    <t>(0.6)</t>
  </si>
  <si>
    <t>(0.5)</t>
  </si>
  <si>
    <t>7.8</t>
  </si>
  <si>
    <t>19.1</t>
  </si>
  <si>
    <t>(0.2)</t>
  </si>
  <si>
    <t>(0.3)</t>
  </si>
  <si>
    <t>(4.5)</t>
  </si>
  <si>
    <t>33.9</t>
  </si>
  <si>
    <t>(4.8)</t>
  </si>
  <si>
    <t>35.1</t>
  </si>
  <si>
    <t>(4.1)</t>
  </si>
  <si>
    <t>38.5</t>
  </si>
  <si>
    <t>40.0</t>
  </si>
  <si>
    <t>(3.1)</t>
  </si>
  <si>
    <t>24.3</t>
  </si>
  <si>
    <t>(3.7)</t>
  </si>
  <si>
    <t>14.7</t>
  </si>
  <si>
    <t>(3.9)</t>
  </si>
  <si>
    <t>15.7</t>
  </si>
  <si>
    <t>(2.0)</t>
  </si>
  <si>
    <t>(2.2)</t>
  </si>
  <si>
    <t>16.1</t>
  </si>
  <si>
    <t>(4.3)</t>
  </si>
  <si>
    <t>(2.4)</t>
  </si>
  <si>
    <t>(4.0)</t>
  </si>
  <si>
    <t>2.7</t>
  </si>
  <si>
    <t>12.8</t>
  </si>
  <si>
    <t>5.8</t>
  </si>
  <si>
    <t>7.7</t>
  </si>
  <si>
    <t>23.2</t>
  </si>
  <si>
    <t>35.2</t>
  </si>
  <si>
    <t>47.9</t>
  </si>
  <si>
    <t>52.4</t>
  </si>
  <si>
    <t>9.9</t>
  </si>
  <si>
    <t>15.4</t>
  </si>
  <si>
    <t>(3.5)</t>
  </si>
  <si>
    <t>16.4</t>
  </si>
  <si>
    <t>2.8</t>
  </si>
  <si>
    <t>(1.5)</t>
  </si>
  <si>
    <t>62.6</t>
  </si>
  <si>
    <t>60.7</t>
  </si>
  <si>
    <t>13.5</t>
  </si>
  <si>
    <t>6.7</t>
  </si>
  <si>
    <t>Couples without dependent children</t>
  </si>
  <si>
    <t>49.2</t>
  </si>
  <si>
    <t>51.3</t>
  </si>
  <si>
    <t>(3.4)</t>
  </si>
  <si>
    <t>15.2</t>
  </si>
  <si>
    <t>16.0</t>
  </si>
  <si>
    <t>(4.9)</t>
  </si>
  <si>
    <t>(3.8)</t>
  </si>
  <si>
    <t>34.4</t>
  </si>
  <si>
    <t>(2.7)</t>
  </si>
  <si>
    <t>16.7</t>
  </si>
  <si>
    <t>8.8</t>
  </si>
  <si>
    <t>9.1</t>
  </si>
  <si>
    <t>2.9</t>
  </si>
  <si>
    <t>57.4</t>
  </si>
  <si>
    <t>41.5</t>
  </si>
  <si>
    <t>50.8</t>
  </si>
  <si>
    <t>26.1</t>
  </si>
  <si>
    <t>32.7</t>
  </si>
  <si>
    <t>32.5</t>
  </si>
  <si>
    <t>9.5</t>
  </si>
  <si>
    <t>(2.3)</t>
  </si>
  <si>
    <t>8.7</t>
  </si>
  <si>
    <t>3.0</t>
  </si>
  <si>
    <t>54.7</t>
  </si>
  <si>
    <t>9.2</t>
  </si>
  <si>
    <t>17.6</t>
  </si>
  <si>
    <t>(5.1)</t>
  </si>
  <si>
    <t>2.4</t>
  </si>
  <si>
    <t>(2.1)</t>
  </si>
  <si>
    <t>Sole parents with dependent children</t>
  </si>
  <si>
    <t>47.6</t>
  </si>
  <si>
    <t>44.2</t>
  </si>
  <si>
    <t>55.8</t>
  </si>
  <si>
    <t>23.9</t>
  </si>
  <si>
    <t>22.7</t>
  </si>
  <si>
    <t>6.3</t>
  </si>
  <si>
    <t>44.7</t>
  </si>
  <si>
    <t>45.3</t>
  </si>
  <si>
    <t>2.3</t>
  </si>
  <si>
    <t>5.6</t>
  </si>
  <si>
    <t>48.8</t>
  </si>
  <si>
    <t>55.1</t>
  </si>
  <si>
    <t>14.4</t>
  </si>
  <si>
    <t>44.0</t>
  </si>
  <si>
    <t>40.8</t>
  </si>
  <si>
    <t>44.9</t>
  </si>
  <si>
    <t>44.6</t>
  </si>
  <si>
    <t>43.1</t>
  </si>
  <si>
    <t>48.6</t>
  </si>
  <si>
    <t>60.0</t>
  </si>
  <si>
    <t>53.8</t>
  </si>
  <si>
    <t>26.3</t>
  </si>
  <si>
    <t>25.9</t>
  </si>
  <si>
    <t>Sole parents without dependent children</t>
  </si>
  <si>
    <t>52.8</t>
  </si>
  <si>
    <t>51.1</t>
  </si>
  <si>
    <t>29.8</t>
  </si>
  <si>
    <t>14.8</t>
  </si>
  <si>
    <t>52.1</t>
  </si>
  <si>
    <t>49.1</t>
  </si>
  <si>
    <t>27.8</t>
  </si>
  <si>
    <t>28.1</t>
  </si>
  <si>
    <t>54.1</t>
  </si>
  <si>
    <t>62.9</t>
  </si>
  <si>
    <t>54.3</t>
  </si>
  <si>
    <t>56.9</t>
  </si>
  <si>
    <t>55.2</t>
  </si>
  <si>
    <t>32.4</t>
  </si>
  <si>
    <t>32.9</t>
  </si>
  <si>
    <t>MSD BENEFIT</t>
  </si>
  <si>
    <t>41.8</t>
  </si>
  <si>
    <t>58.2</t>
  </si>
  <si>
    <t>50.2</t>
  </si>
  <si>
    <t>50.5</t>
  </si>
  <si>
    <t>47.2</t>
  </si>
  <si>
    <t>49.8</t>
  </si>
  <si>
    <t>48.9</t>
  </si>
  <si>
    <t>49.5</t>
  </si>
  <si>
    <t>48.4</t>
  </si>
  <si>
    <t>42.2</t>
  </si>
  <si>
    <t>39.8</t>
  </si>
  <si>
    <t>45.7</t>
  </si>
  <si>
    <t>57.8</t>
  </si>
  <si>
    <t>60.2</t>
  </si>
  <si>
    <t>50.1</t>
  </si>
  <si>
    <t>49.3</t>
  </si>
  <si>
    <t>49.9</t>
  </si>
  <si>
    <t>50.7</t>
  </si>
  <si>
    <t>25.6</t>
  </si>
  <si>
    <t>37.1</t>
  </si>
  <si>
    <t>50.9</t>
  </si>
  <si>
    <t>34.9</t>
  </si>
  <si>
    <t>56.0</t>
  </si>
  <si>
    <t>48.0</t>
  </si>
  <si>
    <t>51.2</t>
  </si>
  <si>
    <t>50.6</t>
  </si>
  <si>
    <t>48.7</t>
  </si>
  <si>
    <t>49.4</t>
  </si>
  <si>
    <t>59.2</t>
  </si>
  <si>
    <t>61.5</t>
  </si>
  <si>
    <t>50.0</t>
  </si>
  <si>
    <t>80.9</t>
  </si>
  <si>
    <t>46.7</t>
  </si>
  <si>
    <t>53.3</t>
  </si>
  <si>
    <t>55.3</t>
  </si>
  <si>
    <t>45.0</t>
  </si>
  <si>
    <t>47.5</t>
  </si>
  <si>
    <t>52.6</t>
  </si>
  <si>
    <t>52.5</t>
  </si>
  <si>
    <t>47.4</t>
  </si>
  <si>
    <t>55.6</t>
  </si>
  <si>
    <t>44.4</t>
  </si>
  <si>
    <t>47.3</t>
  </si>
  <si>
    <t>46.1</t>
  </si>
  <si>
    <t>13.8</t>
  </si>
  <si>
    <t>70.6</t>
  </si>
  <si>
    <t>20.9</t>
  </si>
  <si>
    <t>21.0</t>
  </si>
  <si>
    <t>8.6</t>
  </si>
  <si>
    <t>30.5</t>
  </si>
  <si>
    <t>36.3</t>
  </si>
  <si>
    <t>35.0</t>
  </si>
  <si>
    <t>73.3</t>
  </si>
  <si>
    <t>52.7</t>
  </si>
  <si>
    <t>19.3</t>
  </si>
  <si>
    <t>38.0</t>
  </si>
  <si>
    <t>26.4</t>
  </si>
  <si>
    <t>60.8</t>
  </si>
  <si>
    <t>30.9</t>
  </si>
  <si>
    <t>14.9</t>
  </si>
  <si>
    <t>56.6</t>
  </si>
  <si>
    <t>26.7</t>
  </si>
  <si>
    <t>17.4</t>
  </si>
  <si>
    <t>28.9</t>
  </si>
  <si>
    <t>58.5</t>
  </si>
  <si>
    <t>23.6</t>
  </si>
  <si>
    <t>33.0</t>
  </si>
  <si>
    <t>65.5</t>
  </si>
  <si>
    <t>32.8</t>
  </si>
  <si>
    <t>52.9</t>
  </si>
  <si>
    <t>51.4</t>
  </si>
  <si>
    <t>45.9</t>
  </si>
  <si>
    <t>47.1</t>
  </si>
  <si>
    <t>38.3</t>
  </si>
  <si>
    <t>53.2</t>
  </si>
  <si>
    <t>46.8</t>
  </si>
  <si>
    <t>34.2</t>
  </si>
  <si>
    <t>51.5</t>
  </si>
  <si>
    <t>46.5</t>
  </si>
  <si>
    <t>48.5</t>
  </si>
  <si>
    <t>49.0</t>
  </si>
  <si>
    <t>51.0</t>
  </si>
  <si>
    <t>43.4</t>
  </si>
  <si>
    <t>38.8</t>
  </si>
  <si>
    <t>37.6</t>
  </si>
  <si>
    <t>90.8</t>
  </si>
  <si>
    <t>81.4</t>
  </si>
  <si>
    <t>91.2</t>
  </si>
  <si>
    <t>89.3</t>
  </si>
  <si>
    <t>90.9</t>
  </si>
  <si>
    <t>76.8</t>
  </si>
  <si>
    <t>90.6</t>
  </si>
  <si>
    <t>82.1</t>
  </si>
  <si>
    <t>53.9</t>
  </si>
  <si>
    <t>Yes</t>
  </si>
  <si>
    <t>No</t>
  </si>
  <si>
    <t>91.4</t>
  </si>
  <si>
    <t>27.0</t>
  </si>
  <si>
    <t>28.2</t>
  </si>
  <si>
    <t>29.4</t>
  </si>
  <si>
    <t>39.2</t>
  </si>
  <si>
    <t>26.5</t>
  </si>
  <si>
    <t>43.7</t>
  </si>
  <si>
    <t>73.5</t>
  </si>
  <si>
    <t>56.3</t>
  </si>
  <si>
    <t>90.5</t>
  </si>
  <si>
    <t>82.2</t>
  </si>
  <si>
    <t>34.8</t>
  </si>
  <si>
    <t>30.8</t>
  </si>
  <si>
    <t>27.4</t>
  </si>
  <si>
    <t>33.8</t>
  </si>
  <si>
    <t>2.1</t>
  </si>
  <si>
    <t>56.7</t>
  </si>
  <si>
    <t>38.2</t>
  </si>
  <si>
    <t>36.7</t>
  </si>
  <si>
    <t>36.5</t>
  </si>
  <si>
    <t>24.9</t>
  </si>
  <si>
    <t>31.8</t>
  </si>
  <si>
    <t>34.7</t>
  </si>
  <si>
    <t>28.6</t>
  </si>
  <si>
    <t>29.2</t>
  </si>
  <si>
    <t>Single people without dependent children</t>
  </si>
  <si>
    <t>Total</t>
  </si>
  <si>
    <t>26.8</t>
  </si>
  <si>
    <t>33.7</t>
  </si>
  <si>
    <t>26.6</t>
  </si>
  <si>
    <t>25.7</t>
  </si>
  <si>
    <t>33.2</t>
  </si>
  <si>
    <t>32.6</t>
  </si>
  <si>
    <t>33.6</t>
  </si>
  <si>
    <t>31.7</t>
  </si>
  <si>
    <t>30.3</t>
  </si>
  <si>
    <t>30.1</t>
  </si>
  <si>
    <t>20.7</t>
  </si>
  <si>
    <t>33.3</t>
  </si>
  <si>
    <t>36.1</t>
  </si>
  <si>
    <t>27.9</t>
  </si>
  <si>
    <t>43.5</t>
  </si>
  <si>
    <t>42.5</t>
  </si>
  <si>
    <t>34.5</t>
  </si>
  <si>
    <t>43.3</t>
  </si>
  <si>
    <t>62.4</t>
  </si>
  <si>
    <t>56.5</t>
  </si>
  <si>
    <t>57.5</t>
  </si>
  <si>
    <t>36.8</t>
  </si>
  <si>
    <t>63.2</t>
  </si>
  <si>
    <t>54.4</t>
  </si>
  <si>
    <t>51.9</t>
  </si>
  <si>
    <t>45.6</t>
  </si>
  <si>
    <t>48.1</t>
  </si>
  <si>
    <t>31.6</t>
  </si>
  <si>
    <t>29.3</t>
  </si>
  <si>
    <t>37.4</t>
  </si>
  <si>
    <t>68.4</t>
  </si>
  <si>
    <t>70.7</t>
  </si>
  <si>
    <t>70.2</t>
  </si>
  <si>
    <t>66.3</t>
  </si>
  <si>
    <t>64.8</t>
  </si>
  <si>
    <t>53.5</t>
  </si>
  <si>
    <t>51.6</t>
  </si>
  <si>
    <t>50.4</t>
  </si>
  <si>
    <t>49.6</t>
  </si>
  <si>
    <t>41.1</t>
  </si>
  <si>
    <t>58.9</t>
  </si>
  <si>
    <t>61.7</t>
  </si>
  <si>
    <t>61.8</t>
  </si>
  <si>
    <t>66.2</t>
  </si>
  <si>
    <t>52.0</t>
  </si>
  <si>
    <t>40.2</t>
  </si>
  <si>
    <t>38.1</t>
  </si>
  <si>
    <t>59.8</t>
  </si>
  <si>
    <t>61.9</t>
  </si>
  <si>
    <t>40.6</t>
  </si>
  <si>
    <t>(7.9)</t>
  </si>
  <si>
    <t>39.3</t>
  </si>
  <si>
    <t>41.3</t>
  </si>
  <si>
    <t>59.4</t>
  </si>
  <si>
    <t>58.7</t>
  </si>
  <si>
    <t>63.9</t>
  </si>
  <si>
    <t>66.8</t>
  </si>
  <si>
    <t>92.2</t>
  </si>
  <si>
    <t>89.2</t>
  </si>
  <si>
    <t>91.9</t>
  </si>
  <si>
    <t>91.3</t>
  </si>
  <si>
    <t>84.0</t>
  </si>
  <si>
    <t>24.1</t>
  </si>
  <si>
    <t>75.9</t>
  </si>
  <si>
    <t>76.4</t>
  </si>
  <si>
    <t>89.5</t>
  </si>
  <si>
    <t>73.2</t>
  </si>
  <si>
    <t>79.3</t>
  </si>
  <si>
    <t>74.4</t>
  </si>
  <si>
    <t>90.1</t>
  </si>
  <si>
    <t>92.3</t>
  </si>
  <si>
    <t>93.3</t>
  </si>
  <si>
    <t>20.6</t>
  </si>
  <si>
    <t>20.8</t>
  </si>
  <si>
    <t>22.6</t>
  </si>
  <si>
    <t>18.2</t>
  </si>
  <si>
    <t>24.0</t>
  </si>
  <si>
    <t>79.4</t>
  </si>
  <si>
    <t>79.2</t>
  </si>
  <si>
    <t>77.4</t>
  </si>
  <si>
    <t>81.8</t>
  </si>
  <si>
    <t>76.0</t>
  </si>
  <si>
    <t>41.0</t>
  </si>
  <si>
    <t>44.8</t>
  </si>
  <si>
    <t>59.0</t>
  </si>
  <si>
    <t>54.6</t>
  </si>
  <si>
    <t>55.0</t>
  </si>
  <si>
    <t>46.2</t>
  </si>
  <si>
    <t>45.4</t>
  </si>
  <si>
    <t>55.4</t>
  </si>
  <si>
    <t>43.8</t>
  </si>
  <si>
    <t>65.2</t>
  </si>
  <si>
    <t>56.2</t>
  </si>
  <si>
    <t>57.3</t>
  </si>
  <si>
    <t>56.1</t>
  </si>
  <si>
    <t>42.7</t>
  </si>
  <si>
    <t>43.9</t>
  </si>
  <si>
    <t>31.0</t>
  </si>
  <si>
    <t>24.6</t>
  </si>
  <si>
    <t>26.0</t>
  </si>
  <si>
    <t>17.0</t>
  </si>
  <si>
    <t>22.9</t>
  </si>
  <si>
    <t>35.4</t>
  </si>
  <si>
    <t>27.2</t>
  </si>
  <si>
    <t>29.6</t>
  </si>
  <si>
    <t>26.9</t>
  </si>
  <si>
    <t>32.2</t>
  </si>
  <si>
    <t>31.5</t>
  </si>
  <si>
    <t>14.2</t>
  </si>
  <si>
    <t>22.2</t>
  </si>
  <si>
    <t>19.6</t>
  </si>
  <si>
    <t>20.5</t>
  </si>
  <si>
    <t>21.2</t>
  </si>
  <si>
    <t>36.4</t>
  </si>
  <si>
    <t>27.5</t>
  </si>
  <si>
    <t>29.1</t>
  </si>
  <si>
    <t>23.3</t>
  </si>
  <si>
    <t>3.3</t>
  </si>
  <si>
    <t>30.0</t>
  </si>
  <si>
    <t>31.9</t>
  </si>
  <si>
    <t>S</t>
  </si>
  <si>
    <t>Family structure</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</si>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</sst>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17">
    <xf numFmtId="0" fontId="0" fillId="0" borderId="0" xfId="0"/>
    <xf numFmtId="0" fontId="0" fillId="0" borderId="0" xfId="0" applyAlignment="1">
      <alignment horizontal="center"/>
    </xf>
    <xf numFmtId="0" fontId="1" fillId="0" borderId="0" xfId="0" applyFont="1"/>
    <xf numFmtId="0" fontId="0" fillId="0" borderId="1" xfId="0" applyBorder="1"/>
    <xf numFmtId="0" fontId="1" fillId="0" borderId="2" xfId="0" applyFont="1" applyBorder="1"/>
    <xf numFmtId="0" fontId="0" fillId="0" borderId="2" xfId="0" applyBorder="1"/>
    <xf numFmtId="0" fontId="1" fillId="0" borderId="2" xfId="0" applyFont="1" applyBorder="1" applyAlignment="1">
      <alignment horizontal="center"/>
    </xf>
    <xf numFmtId="0" fontId="1" fillId="0" borderId="1" xfId="0" applyFont="1" applyBorder="1"/>
    <xf numFmtId="0" fontId="2" fillId="0" borderId="0" xfId="0" applyFont="1" applyAlignment="1">
      <alignment horizontal="left"/>
    </xf>
    <xf numFmtId="0" fontId="0" fillId="0" borderId="0" xfId="0" applyAlignment="1">
      <alignment horizontal="center" vertical="center"/>
    </xf>
    <xf numFmtId="0" fontId="3" fillId="0" borderId="2" xfId="0" applyFont="1" applyBorder="1"/>
    <xf numFmtId="0" fontId="3" fillId="0" borderId="2" xfId="0" applyFont="1" applyBorder="1" applyAlignment="1">
      <alignment horizontal="center" vertical="center"/>
    </xf>
    <xf numFmtId="0" fontId="1" fillId="0" borderId="0" xfId="0" applyFont="1" applyAlignment="1">
      <alignment horizontal="center"/>
    </xf>
    <xf numFmtId="0" fontId="1" fillId="0" borderId="4" xfId="0" applyFont="1" applyBorder="1"/>
    <xf numFmtId="0" fontId="1" fillId="0" borderId="6" xfId="0" applyFont="1" applyBorder="1"/>
    <xf numFmtId="0" fontId="1" fillId="0" borderId="8" xfId="0" applyFont="1" applyBorder="1"/>
    <xf numFmtId="0" fontId="1" fillId="0" borderId="9" xfId="0" applyFont="1" applyBorder="1" applyAlignment="1">
      <alignment horizontal="center"/>
    </xf>
    <xf numFmtId="0" fontId="0" fillId="0" borderId="7" xfId="0" applyBorder="1" applyAlignment="1">
      <alignment horizontal="center" vertical="center"/>
    </xf>
    <xf numFmtId="0" fontId="3" fillId="0" borderId="9" xfId="0" applyFon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2" fillId="0" borderId="4" xfId="0" applyFont="1" applyBorder="1" applyAlignment="1">
      <alignment horizontal="left"/>
    </xf>
    <xf numFmtId="0" fontId="2" fillId="0" borderId="6" xfId="0" applyFont="1" applyBorder="1" applyAlignment="1">
      <alignment horizontal="left"/>
    </xf>
    <xf numFmtId="0" fontId="3" fillId="0" borderId="8" xfId="0" applyFont="1" applyBorder="1"/>
    <xf numFmtId="0" fontId="1" fillId="0" borderId="8" xfId="0" applyFont="1" applyBorder="1" applyAlignment="1">
      <alignment horizontal="center"/>
    </xf>
    <xf numFmtId="0" fontId="0" fillId="0" borderId="4" xfId="0" applyBorder="1" applyAlignment="1">
      <alignment horizontal="center" vertical="center"/>
    </xf>
    <xf numFmtId="0" fontId="0" fillId="0" borderId="6" xfId="0" applyBorder="1" applyAlignment="1">
      <alignment horizontal="center" vertical="center"/>
    </xf>
    <xf numFmtId="0" fontId="3" fillId="0" borderId="8" xfId="0" applyFont="1" applyBorder="1" applyAlignment="1">
      <alignment horizontal="center" vertical="center"/>
    </xf>
    <xf numFmtId="0" fontId="1" fillId="0" borderId="5" xfId="0" applyFont="1" applyBorder="1"/>
    <xf numFmtId="0" fontId="1" fillId="0" borderId="7" xfId="0" applyFont="1" applyBorder="1"/>
    <xf numFmtId="0" fontId="1" fillId="0" borderId="9" xfId="0" applyFont="1" applyBorder="1"/>
    <xf numFmtId="0" fontId="0" fillId="0" borderId="3" xfId="0" applyBorder="1"/>
    <xf numFmtId="0" fontId="2" fillId="2" borderId="4" xfId="0" applyFont="1" applyFill="1" applyBorder="1" applyAlignment="1">
      <alignment horizontal="left"/>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pplyAlignment="1">
      <alignment horizontal="center" vertical="center"/>
    </xf>
    <xf numFmtId="0" fontId="2" fillId="2" borderId="6" xfId="0" applyFont="1" applyFill="1" applyBorder="1" applyAlignment="1">
      <alignment horizontal="left"/>
    </xf>
    <xf numFmtId="0" fontId="0" fillId="2" borderId="6" xfId="0" applyFill="1" applyBorder="1" applyAlignment="1">
      <alignment horizontal="center" vertical="center"/>
    </xf>
    <xf numFmtId="0" fontId="0" fillId="2" borderId="0" xfId="0" applyFill="1" applyAlignment="1">
      <alignment horizontal="center" vertical="center"/>
    </xf>
    <xf numFmtId="0" fontId="0" fillId="2" borderId="7" xfId="0" applyFill="1" applyBorder="1" applyAlignment="1">
      <alignment horizontal="center" vertical="center"/>
    </xf>
    <xf numFmtId="0" fontId="3" fillId="2" borderId="8" xfId="0" applyFont="1" applyFill="1" applyBorder="1"/>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9" xfId="0" applyFont="1" applyFill="1" applyBorder="1" applyAlignment="1">
      <alignment horizontal="center" vertical="center"/>
    </xf>
    <xf numFmtId="0" fontId="2" fillId="2" borderId="1" xfId="0" applyFont="1" applyFill="1" applyBorder="1" applyAlignment="1">
      <alignment horizontal="left"/>
    </xf>
    <xf numFmtId="0" fontId="2" fillId="2" borderId="0" xfId="0" applyFont="1" applyFill="1" applyAlignment="1">
      <alignment horizontal="left"/>
    </xf>
    <xf numFmtId="0" fontId="3" fillId="2" borderId="2" xfId="0" applyFont="1" applyFill="1" applyBorder="1"/>
    <xf numFmtId="0" fontId="0" fillId="0" borderId="1"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10" xfId="0" applyBorder="1"/>
    <xf numFmtId="0" fontId="0" fillId="0" borderId="11" xfId="0" applyBorder="1"/>
    <xf numFmtId="0" fontId="1" fillId="0" borderId="11" xfId="0" applyFont="1" applyBorder="1"/>
    <xf numFmtId="0" fontId="1" fillId="0" borderId="12" xfId="0" applyFont="1" applyBorder="1"/>
    <xf numFmtId="0" fontId="0" fillId="0" borderId="4" xfId="0" applyBorder="1" applyAlignment="1">
      <alignment horizontal="center"/>
    </xf>
    <xf numFmtId="0" fontId="0" fillId="0" borderId="6" xfId="0" applyBorder="1" applyAlignment="1">
      <alignment horizontal="center"/>
    </xf>
    <xf numFmtId="0" fontId="1" fillId="0" borderId="6" xfId="0" applyFont="1" applyBorder="1" applyAlignment="1">
      <alignment horizontal="center"/>
    </xf>
    <xf numFmtId="0" fontId="0" fillId="2" borderId="10" xfId="0" applyFill="1" applyBorder="1"/>
    <xf numFmtId="0" fontId="0" fillId="2" borderId="4" xfId="0" applyFill="1" applyBorder="1" applyAlignment="1">
      <alignment horizontal="center"/>
    </xf>
    <xf numFmtId="0" fontId="0" fillId="2" borderId="5" xfId="0" applyFill="1" applyBorder="1" applyAlignment="1">
      <alignment horizontal="center"/>
    </xf>
    <xf numFmtId="0" fontId="0" fillId="2" borderId="1" xfId="0" applyFill="1" applyBorder="1" applyAlignment="1">
      <alignment horizontal="center"/>
    </xf>
    <xf numFmtId="0" fontId="0" fillId="2" borderId="11" xfId="0" applyFill="1"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0" xfId="0" applyFill="1" applyAlignment="1">
      <alignment horizontal="center"/>
    </xf>
    <xf numFmtId="0" fontId="1" fillId="2" borderId="11" xfId="0" applyFont="1" applyFill="1" applyBorder="1"/>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0" xfId="0" applyFont="1" applyFill="1" applyAlignment="1">
      <alignment horizontal="center"/>
    </xf>
    <xf numFmtId="0" fontId="1" fillId="2" borderId="12" xfId="0" applyFont="1" applyFill="1" applyBorder="1"/>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2" xfId="0" applyFont="1" applyFill="1" applyBorder="1" applyAlignment="1">
      <alignment horizontal="center"/>
    </xf>
    <xf numFmtId="0" fontId="0" fillId="2" borderId="1" xfId="0" applyFill="1" applyBorder="1"/>
    <xf numFmtId="0" fontId="0" fillId="2" borderId="0" xfId="0" applyFill="1"/>
    <xf numFmtId="0" fontId="1" fillId="2" borderId="2" xfId="0" applyFont="1" applyFill="1" applyBorder="1"/>
    <xf numFmtId="0" fontId="0" fillId="0" borderId="0" xfId="0" applyAlignment="1">
      <alignment wrapText="1"/>
    </xf>
    <xf numFmtId="0" fontId="2" fillId="0" borderId="0" xfId="0" applyFont="1" applyAlignment="1">
      <alignment vertical="center"/>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vertical="center" wrapText="1"/>
    </xf>
    <xf numFmtId="0" fontId="4" fillId="0" borderId="0" xfId="1" applyAlignment="1">
      <alignment horizontal="left" vertical="center" wrapText="1"/>
    </xf>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0" xfId="0" applyFont="1" applyAlignment="1">
      <alignment horizontal="center" vertical="center"/>
    </xf>
    <xf numFmtId="0" fontId="1" fillId="0" borderId="2" xfId="0" applyFont="1" applyBorder="1" applyAlignment="1">
      <alignment horizontal="center" vertical="center"/>
    </xf>
    <xf numFmtId="0" fontId="1" fillId="2" borderId="1" xfId="0" applyFont="1" applyFill="1" applyBorder="1" applyAlignment="1">
      <alignment horizontal="center" vertical="center"/>
    </xf>
    <xf numFmtId="0" fontId="1" fillId="2" borderId="0" xfId="0" applyFont="1" applyFill="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1" fillId="0" borderId="6"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
  <sheetViews>
    <sheetView workbookViewId="0">
      <selection activeCell="C28" sqref="C28"/>
    </sheetView>
  </sheetViews>
  <sheetFormatPr defaultColWidth="8.85546875" defaultRowHeight="15" x14ac:dyDescent="0.25"/>
  <sheetData>
    <row r="1" spans="1:11" ht="55.5" customHeight="1" x14ac:dyDescent="0.25">
      <c r="A1" s="79" t="s">
        <v>420</v>
      </c>
      <c r="B1" s="79"/>
      <c r="C1" s="79"/>
      <c r="D1" s="79"/>
      <c r="E1" s="79"/>
      <c r="F1" s="79"/>
      <c r="G1" s="79"/>
      <c r="H1" s="79"/>
      <c r="I1" s="79"/>
      <c r="J1" s="79"/>
      <c r="K1" s="79"/>
    </row>
    <row r="3" spans="1:11" s="77" customFormat="1" ht="47.25" customHeight="1" x14ac:dyDescent="0.25">
      <c r="A3" s="80" t="s">
        <v>421</v>
      </c>
      <c r="B3" s="80"/>
      <c r="C3" s="80"/>
      <c r="D3" s="80"/>
      <c r="E3" s="80"/>
      <c r="F3" s="80"/>
      <c r="G3" s="80"/>
      <c r="H3" s="80"/>
      <c r="I3" s="80"/>
      <c r="J3" s="80"/>
      <c r="K3" s="80"/>
    </row>
    <row r="4" spans="1:11" x14ac:dyDescent="0.25">
      <c r="A4" s="78"/>
    </row>
    <row r="5" spans="1:11" ht="48" customHeight="1" x14ac:dyDescent="0.25">
      <c r="A5" s="81" t="s">
        <v>422</v>
      </c>
      <c r="B5" s="81"/>
      <c r="C5" s="81"/>
      <c r="D5" s="81"/>
      <c r="E5" s="81"/>
      <c r="F5" s="81"/>
      <c r="G5" s="81"/>
      <c r="H5" s="81"/>
      <c r="I5" s="81"/>
      <c r="J5" s="81"/>
      <c r="K5" s="81"/>
    </row>
    <row r="6" spans="1:11" x14ac:dyDescent="0.25">
      <c r="A6" s="78"/>
    </row>
    <row r="7" spans="1:11" ht="73.5" customHeight="1" x14ac:dyDescent="0.25">
      <c r="A7" s="81" t="s">
        <v>423</v>
      </c>
      <c r="B7" s="81"/>
      <c r="C7" s="81"/>
      <c r="D7" s="81"/>
      <c r="E7" s="81"/>
      <c r="F7" s="81"/>
      <c r="G7" s="81"/>
      <c r="H7" s="81"/>
      <c r="I7" s="81"/>
      <c r="J7" s="81"/>
      <c r="K7" s="81"/>
    </row>
    <row r="8" spans="1:11" x14ac:dyDescent="0.25">
      <c r="A8" s="78"/>
    </row>
    <row r="9" spans="1:11" ht="51.75" customHeight="1" x14ac:dyDescent="0.25">
      <c r="A9" s="82" t="s">
        <v>424</v>
      </c>
      <c r="B9" s="82"/>
      <c r="C9" s="82"/>
      <c r="D9" s="82"/>
      <c r="E9" s="82"/>
      <c r="F9" s="82"/>
      <c r="G9" s="82"/>
      <c r="H9" s="82"/>
      <c r="I9" s="82"/>
      <c r="J9" s="82"/>
      <c r="K9" s="82"/>
    </row>
  </sheetData>
  <mergeCells count="5">
    <mergeCell ref="A1:K1"/>
    <mergeCell ref="A3:K3"/>
    <mergeCell ref="A5:K5"/>
    <mergeCell ref="A7:K7"/>
    <mergeCell ref="A9:K9"/>
  </mergeCells>
  <hyperlinks>
    <hyperlink ref="A9" r:id="rId1" display="http://www.stats.govt.nz/" xr:uid="{00000000-0004-0000-0000-000000000000}"/>
  </hyperlinks>
  <pageMargins left="0.7" right="0.7" top="0.75" bottom="0.75" header="0.3" footer="0.3"/>
  <pageSetup paperSize="9" orientation="portrait" r:id="rId2"/>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4:R150"/>
  <sheetViews>
    <sheetView showGridLines="0" zoomScale="80" zoomScaleNormal="80" workbookViewId="0">
      <selection activeCell="Y24" sqref="Y24"/>
    </sheetView>
  </sheetViews>
  <sheetFormatPr defaultColWidth="8.85546875" defaultRowHeight="15" x14ac:dyDescent="0.25"/>
  <cols>
    <col min="1" max="1" width="22.42578125" style="2" customWidth="1"/>
    <col min="2" max="2" width="12.28515625" style="2" bestFit="1" customWidth="1"/>
    <col min="3" max="3" width="12.140625" style="2" customWidth="1"/>
    <col min="4" max="4" width="12.42578125" customWidth="1"/>
    <col min="5" max="18" width="9.140625" style="1"/>
  </cols>
  <sheetData>
    <row r="4" spans="1:18" x14ac:dyDescent="0.25">
      <c r="A4" s="7"/>
      <c r="B4" s="7"/>
      <c r="C4" s="7"/>
      <c r="D4" s="83"/>
      <c r="E4" s="94" t="s">
        <v>174</v>
      </c>
      <c r="F4" s="94"/>
      <c r="G4" s="94"/>
      <c r="H4" s="94"/>
      <c r="I4" s="94"/>
      <c r="J4" s="94"/>
      <c r="K4" s="94"/>
      <c r="L4" s="94"/>
      <c r="M4" s="94"/>
      <c r="N4" s="94"/>
      <c r="O4" s="94"/>
      <c r="P4" s="94"/>
      <c r="Q4" s="94"/>
      <c r="R4" s="94"/>
    </row>
    <row r="5" spans="1:18" x14ac:dyDescent="0.25">
      <c r="D5" s="84"/>
      <c r="E5" s="94">
        <v>2008</v>
      </c>
      <c r="F5" s="95"/>
      <c r="G5" s="94">
        <v>2010</v>
      </c>
      <c r="H5" s="94"/>
      <c r="I5" s="96">
        <v>2012</v>
      </c>
      <c r="J5" s="95"/>
      <c r="K5" s="94">
        <v>2014</v>
      </c>
      <c r="L5" s="94"/>
      <c r="M5" s="96">
        <v>2016</v>
      </c>
      <c r="N5" s="95"/>
      <c r="O5" s="94">
        <v>2018</v>
      </c>
      <c r="P5" s="94"/>
      <c r="Q5" s="96">
        <v>2020</v>
      </c>
      <c r="R5" s="95"/>
    </row>
    <row r="6" spans="1:18" x14ac:dyDescent="0.25">
      <c r="A6" s="4"/>
      <c r="B6" s="4"/>
      <c r="C6" s="4"/>
      <c r="D6" s="85"/>
      <c r="E6" s="6" t="s">
        <v>11</v>
      </c>
      <c r="F6" s="16" t="s">
        <v>12</v>
      </c>
      <c r="G6" s="6" t="s">
        <v>11</v>
      </c>
      <c r="H6" s="6" t="s">
        <v>12</v>
      </c>
      <c r="I6" s="24" t="s">
        <v>11</v>
      </c>
      <c r="J6" s="16" t="s">
        <v>12</v>
      </c>
      <c r="K6" s="6" t="s">
        <v>11</v>
      </c>
      <c r="L6" s="6" t="s">
        <v>12</v>
      </c>
      <c r="M6" s="24" t="s">
        <v>11</v>
      </c>
      <c r="N6" s="16" t="s">
        <v>12</v>
      </c>
      <c r="O6" s="6" t="s">
        <v>11</v>
      </c>
      <c r="P6" s="6" t="s">
        <v>12</v>
      </c>
      <c r="Q6" s="24" t="s">
        <v>11</v>
      </c>
      <c r="R6" s="16" t="s">
        <v>12</v>
      </c>
    </row>
    <row r="7" spans="1:18" ht="15" customHeight="1" x14ac:dyDescent="0.25">
      <c r="A7" s="86" t="s">
        <v>5</v>
      </c>
      <c r="B7" s="86" t="s">
        <v>0</v>
      </c>
      <c r="C7" s="89" t="s">
        <v>269</v>
      </c>
      <c r="D7" s="75" t="s">
        <v>6</v>
      </c>
      <c r="E7" s="59" t="str">
        <f>"31.0"</f>
        <v>31.0</v>
      </c>
      <c r="F7" s="60" t="str">
        <f>"(2.1)"</f>
        <v>(2.1)</v>
      </c>
      <c r="G7" s="61" t="str">
        <f>"30.8"</f>
        <v>30.8</v>
      </c>
      <c r="H7" s="61" t="str">
        <f>"(2.1)"</f>
        <v>(2.1)</v>
      </c>
      <c r="I7" s="59" t="str">
        <f>"24.6"</f>
        <v>24.6</v>
      </c>
      <c r="J7" s="60" t="str">
        <f>"(1.4)"</f>
        <v>(1.4)</v>
      </c>
      <c r="K7" s="61" t="str">
        <f>"24.9"</f>
        <v>24.9</v>
      </c>
      <c r="L7" s="61" t="str">
        <f>"(1.7)"</f>
        <v>(1.7)</v>
      </c>
      <c r="M7" s="59" t="str">
        <f>"25.6"</f>
        <v>25.6</v>
      </c>
      <c r="N7" s="60" t="str">
        <f>"(1.5)"</f>
        <v>(1.5)</v>
      </c>
      <c r="O7" s="61" t="str">
        <f>"26.0"</f>
        <v>26.0</v>
      </c>
      <c r="P7" s="61" t="str">
        <f>"(1.7)"</f>
        <v>(1.7)</v>
      </c>
      <c r="Q7" s="59" t="str">
        <f>"27.9"</f>
        <v>27.9</v>
      </c>
      <c r="R7" s="60" t="str">
        <f>"(0.8)"</f>
        <v>(0.8)</v>
      </c>
    </row>
    <row r="8" spans="1:18" x14ac:dyDescent="0.25">
      <c r="A8" s="87"/>
      <c r="B8" s="87"/>
      <c r="C8" s="90"/>
      <c r="D8" s="75" t="s">
        <v>7</v>
      </c>
      <c r="E8" s="63" t="str">
        <f>"14.9"</f>
        <v>14.9</v>
      </c>
      <c r="F8" s="64" t="str">
        <f>"(1.6)"</f>
        <v>(1.6)</v>
      </c>
      <c r="G8" s="65" t="str">
        <f>"13.5"</f>
        <v>13.5</v>
      </c>
      <c r="H8" s="65" t="str">
        <f>"(1.4)"</f>
        <v>(1.4)</v>
      </c>
      <c r="I8" s="63" t="str">
        <f>"14.8"</f>
        <v>14.8</v>
      </c>
      <c r="J8" s="64" t="str">
        <f>"(1.5)"</f>
        <v>(1.5)</v>
      </c>
      <c r="K8" s="65" t="str">
        <f>"16.7"</f>
        <v>16.7</v>
      </c>
      <c r="L8" s="65" t="str">
        <f>"(1.5)"</f>
        <v>(1.5)</v>
      </c>
      <c r="M8" s="63" t="str">
        <f>"17.0"</f>
        <v>17.0</v>
      </c>
      <c r="N8" s="64" t="str">
        <f>"(1.9)"</f>
        <v>(1.9)</v>
      </c>
      <c r="O8" s="65" t="str">
        <f>"14.4"</f>
        <v>14.4</v>
      </c>
      <c r="P8" s="65" t="str">
        <f>"(1.5)"</f>
        <v>(1.5)</v>
      </c>
      <c r="Q8" s="63" t="str">
        <f>"15.2"</f>
        <v>15.2</v>
      </c>
      <c r="R8" s="64" t="str">
        <f>"(0.8)"</f>
        <v>(0.8)</v>
      </c>
    </row>
    <row r="9" spans="1:18" x14ac:dyDescent="0.25">
      <c r="A9" s="87"/>
      <c r="B9" s="87"/>
      <c r="C9" s="90"/>
      <c r="D9" s="75" t="s">
        <v>8</v>
      </c>
      <c r="E9" s="63" t="str">
        <f>"24.9"</f>
        <v>24.9</v>
      </c>
      <c r="F9" s="64" t="str">
        <f>"(1.7)"</f>
        <v>(1.7)</v>
      </c>
      <c r="G9" s="65" t="str">
        <f>"23.2"</f>
        <v>23.2</v>
      </c>
      <c r="H9" s="65" t="str">
        <f>"(1.6)"</f>
        <v>(1.6)</v>
      </c>
      <c r="I9" s="63" t="str">
        <f>"25.7"</f>
        <v>25.7</v>
      </c>
      <c r="J9" s="64" t="str">
        <f>"(1.6)"</f>
        <v>(1.6)</v>
      </c>
      <c r="K9" s="65" t="str">
        <f>"23.9"</f>
        <v>23.9</v>
      </c>
      <c r="L9" s="65" t="str">
        <f>"(1.3)"</f>
        <v>(1.3)</v>
      </c>
      <c r="M9" s="63" t="str">
        <f>"22.9"</f>
        <v>22.9</v>
      </c>
      <c r="N9" s="64" t="str">
        <f>"(1.7)"</f>
        <v>(1.7)</v>
      </c>
      <c r="O9" s="65" t="str">
        <f>"23.6"</f>
        <v>23.6</v>
      </c>
      <c r="P9" s="65" t="str">
        <f>"(1.8)"</f>
        <v>(1.8)</v>
      </c>
      <c r="Q9" s="63" t="str">
        <f>"22.7"</f>
        <v>22.7</v>
      </c>
      <c r="R9" s="64" t="str">
        <f>"(0.9)"</f>
        <v>(0.9)</v>
      </c>
    </row>
    <row r="10" spans="1:18" x14ac:dyDescent="0.25">
      <c r="A10" s="87"/>
      <c r="B10" s="87"/>
      <c r="C10" s="90"/>
      <c r="D10" s="75" t="s">
        <v>9</v>
      </c>
      <c r="E10" s="63" t="str">
        <f>"29.2"</f>
        <v>29.2</v>
      </c>
      <c r="F10" s="64" t="str">
        <f>"(1.8)"</f>
        <v>(1.8)</v>
      </c>
      <c r="G10" s="65" t="str">
        <f>"32.5"</f>
        <v>32.5</v>
      </c>
      <c r="H10" s="65" t="str">
        <f>"(1.7)"</f>
        <v>(1.7)</v>
      </c>
      <c r="I10" s="63" t="str">
        <f>"34.9"</f>
        <v>34.9</v>
      </c>
      <c r="J10" s="64" t="str">
        <f>"(1.8)"</f>
        <v>(1.8)</v>
      </c>
      <c r="K10" s="65" t="str">
        <f>"34.5"</f>
        <v>34.5</v>
      </c>
      <c r="L10" s="65" t="str">
        <f>"(1.6)"</f>
        <v>(1.6)</v>
      </c>
      <c r="M10" s="63" t="str">
        <f>"34.5"</f>
        <v>34.5</v>
      </c>
      <c r="N10" s="64" t="str">
        <f>"(1.9)"</f>
        <v>(1.9)</v>
      </c>
      <c r="O10" s="65" t="str">
        <f>"35.9"</f>
        <v>35.9</v>
      </c>
      <c r="P10" s="65" t="str">
        <f>"(1.9)"</f>
        <v>(1.9)</v>
      </c>
      <c r="Q10" s="63" t="str">
        <f>"34.2"</f>
        <v>34.2</v>
      </c>
      <c r="R10" s="64" t="str">
        <f>"(1.1)"</f>
        <v>(1.1)</v>
      </c>
    </row>
    <row r="11" spans="1:18" x14ac:dyDescent="0.25">
      <c r="A11" s="87"/>
      <c r="B11" s="87"/>
      <c r="C11" s="90"/>
      <c r="D11" s="75" t="s">
        <v>10</v>
      </c>
      <c r="E11" s="63"/>
      <c r="F11" s="64"/>
      <c r="G11" s="65"/>
      <c r="H11" s="65"/>
      <c r="I11" s="63"/>
      <c r="J11" s="64"/>
      <c r="K11" s="65"/>
      <c r="L11" s="65"/>
      <c r="M11" s="63"/>
      <c r="N11" s="64"/>
      <c r="O11" s="65"/>
      <c r="P11" s="65"/>
      <c r="Q11" s="63"/>
      <c r="R11" s="64"/>
    </row>
    <row r="12" spans="1:18" s="2" customFormat="1" x14ac:dyDescent="0.25">
      <c r="A12" s="87"/>
      <c r="B12" s="87"/>
      <c r="C12" s="91"/>
      <c r="D12" s="76" t="str">
        <f>"Total"</f>
        <v>Total</v>
      </c>
      <c r="E12" s="71" t="s">
        <v>51</v>
      </c>
      <c r="F12" s="72" t="s">
        <v>52</v>
      </c>
      <c r="G12" s="73" t="s">
        <v>51</v>
      </c>
      <c r="H12" s="73" t="s">
        <v>52</v>
      </c>
      <c r="I12" s="71" t="s">
        <v>51</v>
      </c>
      <c r="J12" s="72" t="s">
        <v>52</v>
      </c>
      <c r="K12" s="73" t="s">
        <v>51</v>
      </c>
      <c r="L12" s="73" t="s">
        <v>52</v>
      </c>
      <c r="M12" s="71" t="s">
        <v>51</v>
      </c>
      <c r="N12" s="72" t="s">
        <v>52</v>
      </c>
      <c r="O12" s="73" t="s">
        <v>51</v>
      </c>
      <c r="P12" s="73" t="s">
        <v>52</v>
      </c>
      <c r="Q12" s="71" t="s">
        <v>51</v>
      </c>
      <c r="R12" s="72" t="s">
        <v>52</v>
      </c>
    </row>
    <row r="13" spans="1:18" x14ac:dyDescent="0.25">
      <c r="A13" s="87"/>
      <c r="B13" s="87"/>
      <c r="C13" s="92" t="s">
        <v>270</v>
      </c>
      <c r="D13" t="s">
        <v>6</v>
      </c>
      <c r="E13" s="56" t="str">
        <f>"33.8"</f>
        <v>33.8</v>
      </c>
      <c r="F13" s="49" t="str">
        <f>"(0.7)"</f>
        <v>(0.7)</v>
      </c>
      <c r="G13" s="1" t="str">
        <f>"35.0"</f>
        <v>35.0</v>
      </c>
      <c r="H13" s="1" t="str">
        <f>"(0.8)"</f>
        <v>(0.8)</v>
      </c>
      <c r="I13" s="56" t="str">
        <f>"34.4"</f>
        <v>34.4</v>
      </c>
      <c r="J13" s="49" t="str">
        <f>"(0.7)"</f>
        <v>(0.7)</v>
      </c>
      <c r="K13" s="1" t="str">
        <f>"31.7"</f>
        <v>31.7</v>
      </c>
      <c r="L13" s="1" t="str">
        <f>"(0.9)"</f>
        <v>(0.9)</v>
      </c>
      <c r="M13" s="56" t="str">
        <f>"33.2"</f>
        <v>33.2</v>
      </c>
      <c r="N13" s="49" t="str">
        <f>"(0.7)"</f>
        <v>(0.7)</v>
      </c>
      <c r="O13" s="1" t="str">
        <f>"32.8"</f>
        <v>32.8</v>
      </c>
      <c r="P13" s="1" t="str">
        <f>"(0.8)"</f>
        <v>(0.8)</v>
      </c>
      <c r="Q13" s="56" t="str">
        <f>"32.8"</f>
        <v>32.8</v>
      </c>
      <c r="R13" s="49" t="str">
        <f>"(0.4)"</f>
        <v>(0.4)</v>
      </c>
    </row>
    <row r="14" spans="1:18" x14ac:dyDescent="0.25">
      <c r="A14" s="87"/>
      <c r="B14" s="87"/>
      <c r="C14" s="92"/>
      <c r="D14" t="s">
        <v>7</v>
      </c>
      <c r="E14" s="56" t="str">
        <f>"36.0"</f>
        <v>36.0</v>
      </c>
      <c r="F14" s="49" t="str">
        <f>"(0.8)"</f>
        <v>(0.8)</v>
      </c>
      <c r="G14" s="1" t="str">
        <f>"35.4"</f>
        <v>35.4</v>
      </c>
      <c r="H14" s="1" t="str">
        <f>"(0.8)"</f>
        <v>(0.8)</v>
      </c>
      <c r="I14" s="56" t="str">
        <f>"36.1"</f>
        <v>36.1</v>
      </c>
      <c r="J14" s="49" t="str">
        <f>"(0.8)"</f>
        <v>(0.8)</v>
      </c>
      <c r="K14" s="1" t="str">
        <f>"35.3"</f>
        <v>35.3</v>
      </c>
      <c r="L14" s="1" t="str">
        <f>"(0.7)"</f>
        <v>(0.7)</v>
      </c>
      <c r="M14" s="56" t="str">
        <f>"34.2"</f>
        <v>34.2</v>
      </c>
      <c r="N14" s="49" t="str">
        <f>"(0.8)"</f>
        <v>(0.8)</v>
      </c>
      <c r="O14" s="1" t="str">
        <f>"33.0"</f>
        <v>33.0</v>
      </c>
      <c r="P14" s="1" t="str">
        <f>"(0.7)"</f>
        <v>(0.7)</v>
      </c>
      <c r="Q14" s="56" t="str">
        <f>"34.5"</f>
        <v>34.5</v>
      </c>
      <c r="R14" s="49" t="str">
        <f>"(0.4)"</f>
        <v>(0.4)</v>
      </c>
    </row>
    <row r="15" spans="1:18" x14ac:dyDescent="0.25">
      <c r="A15" s="87"/>
      <c r="B15" s="87"/>
      <c r="C15" s="92"/>
      <c r="D15" t="s">
        <v>8</v>
      </c>
      <c r="E15" s="56" t="str">
        <f>"2.3"</f>
        <v>2.3</v>
      </c>
      <c r="F15" s="49" t="str">
        <f>"(0.2)"</f>
        <v>(0.2)</v>
      </c>
      <c r="G15" s="1" t="str">
        <f>"2.6"</f>
        <v>2.6</v>
      </c>
      <c r="H15" s="1" t="str">
        <f>"(0.3)"</f>
        <v>(0.3)</v>
      </c>
      <c r="I15" s="56" t="str">
        <f>"2.3"</f>
        <v>2.3</v>
      </c>
      <c r="J15" s="49" t="str">
        <f>"(0.2)"</f>
        <v>(0.2)</v>
      </c>
      <c r="K15" s="1" t="str">
        <f>"2.9"</f>
        <v>2.9</v>
      </c>
      <c r="L15" s="1" t="str">
        <f>"(0.3)"</f>
        <v>(0.3)</v>
      </c>
      <c r="M15" s="56" t="str">
        <f>"2.9"</f>
        <v>2.9</v>
      </c>
      <c r="N15" s="49" t="str">
        <f>"(0.3)"</f>
        <v>(0.3)</v>
      </c>
      <c r="O15" s="1" t="str">
        <f>"2.6"</f>
        <v>2.6</v>
      </c>
      <c r="P15" s="1" t="str">
        <f>"(0.2)"</f>
        <v>(0.2)</v>
      </c>
      <c r="Q15" s="56" t="str">
        <f>"5.8"</f>
        <v>5.8</v>
      </c>
      <c r="R15" s="49" t="str">
        <f>"(0.3)"</f>
        <v>(0.3)</v>
      </c>
    </row>
    <row r="16" spans="1:18" x14ac:dyDescent="0.25">
      <c r="A16" s="87"/>
      <c r="B16" s="87"/>
      <c r="C16" s="92"/>
      <c r="D16" t="s">
        <v>9</v>
      </c>
      <c r="E16" s="56" t="str">
        <f>"27.9"</f>
        <v>27.9</v>
      </c>
      <c r="F16" s="49" t="str">
        <f>"(0.7)"</f>
        <v>(0.7)</v>
      </c>
      <c r="G16" s="1" t="str">
        <f>"27.0"</f>
        <v>27.0</v>
      </c>
      <c r="H16" s="1" t="str">
        <f>"(0.7)"</f>
        <v>(0.7)</v>
      </c>
      <c r="I16" s="56" t="str">
        <f>"27.2"</f>
        <v>27.2</v>
      </c>
      <c r="J16" s="49" t="str">
        <f>"(0.7)"</f>
        <v>(0.7)</v>
      </c>
      <c r="K16" s="1" t="str">
        <f>"30.1"</f>
        <v>30.1</v>
      </c>
      <c r="L16" s="1" t="str">
        <f>"(0.7)"</f>
        <v>(0.7)</v>
      </c>
      <c r="M16" s="56" t="str">
        <f>"29.6"</f>
        <v>29.6</v>
      </c>
      <c r="N16" s="49" t="str">
        <f>"(0.7)"</f>
        <v>(0.7)</v>
      </c>
      <c r="O16" s="1" t="str">
        <f>"31.6"</f>
        <v>31.6</v>
      </c>
      <c r="P16" s="1" t="str">
        <f>"(0.7)"</f>
        <v>(0.7)</v>
      </c>
      <c r="Q16" s="56" t="str">
        <f>"26.9"</f>
        <v>26.9</v>
      </c>
      <c r="R16" s="49" t="str">
        <f>"(0.4)"</f>
        <v>(0.4)</v>
      </c>
    </row>
    <row r="17" spans="1:18" x14ac:dyDescent="0.25">
      <c r="A17" s="87"/>
      <c r="B17" s="87"/>
      <c r="C17" s="92"/>
      <c r="D17" t="s">
        <v>10</v>
      </c>
      <c r="E17" s="56"/>
      <c r="F17" s="49"/>
      <c r="I17" s="56"/>
      <c r="J17" s="49"/>
      <c r="M17" s="56"/>
      <c r="N17" s="49"/>
      <c r="Q17" s="56"/>
      <c r="R17" s="49"/>
    </row>
    <row r="18" spans="1:18" s="2" customFormat="1" x14ac:dyDescent="0.25">
      <c r="A18" s="87"/>
      <c r="B18" s="88"/>
      <c r="C18" s="93"/>
      <c r="D18" s="4" t="str">
        <f t="shared" ref="D18" si="0">"Total"</f>
        <v>Total</v>
      </c>
      <c r="E18" s="24" t="s">
        <v>51</v>
      </c>
      <c r="F18" s="16" t="s">
        <v>52</v>
      </c>
      <c r="G18" s="6" t="s">
        <v>51</v>
      </c>
      <c r="H18" s="6" t="s">
        <v>52</v>
      </c>
      <c r="I18" s="24" t="s">
        <v>51</v>
      </c>
      <c r="J18" s="16" t="s">
        <v>52</v>
      </c>
      <c r="K18" s="6" t="s">
        <v>51</v>
      </c>
      <c r="L18" s="6" t="s">
        <v>52</v>
      </c>
      <c r="M18" s="24" t="s">
        <v>51</v>
      </c>
      <c r="N18" s="16" t="s">
        <v>52</v>
      </c>
      <c r="O18" s="6" t="s">
        <v>51</v>
      </c>
      <c r="P18" s="6" t="s">
        <v>52</v>
      </c>
      <c r="Q18" s="24" t="s">
        <v>51</v>
      </c>
      <c r="R18" s="16" t="s">
        <v>52</v>
      </c>
    </row>
    <row r="19" spans="1:18" x14ac:dyDescent="0.25">
      <c r="A19" s="87"/>
      <c r="B19" s="86" t="s">
        <v>1</v>
      </c>
      <c r="C19" s="89" t="s">
        <v>269</v>
      </c>
      <c r="D19" s="74" t="s">
        <v>6</v>
      </c>
      <c r="E19" s="59" t="str">
        <f>"32.2"</f>
        <v>32.2</v>
      </c>
      <c r="F19" s="60" t="str">
        <f>"(1.8)"</f>
        <v>(1.8)</v>
      </c>
      <c r="G19" s="61" t="str">
        <f>"31.5"</f>
        <v>31.5</v>
      </c>
      <c r="H19" s="61" t="str">
        <f>"(1.8)"</f>
        <v>(1.8)</v>
      </c>
      <c r="I19" s="59" t="str">
        <f>"24.6"</f>
        <v>24.6</v>
      </c>
      <c r="J19" s="60" t="str">
        <f>"(1.3)"</f>
        <v>(1.3)</v>
      </c>
      <c r="K19" s="61" t="str">
        <f>"25.9"</f>
        <v>25.9</v>
      </c>
      <c r="L19" s="61" t="str">
        <f>"(1.6)"</f>
        <v>(1.6)</v>
      </c>
      <c r="M19" s="59" t="str">
        <f>"26.8"</f>
        <v>26.8</v>
      </c>
      <c r="N19" s="60" t="str">
        <f>"(1.4)"</f>
        <v>(1.4)</v>
      </c>
      <c r="O19" s="61" t="str">
        <f>"26.1"</f>
        <v>26.1</v>
      </c>
      <c r="P19" s="61" t="str">
        <f>"(1.7)"</f>
        <v>(1.7)</v>
      </c>
      <c r="Q19" s="59" t="str">
        <f>"27.8"</f>
        <v>27.8</v>
      </c>
      <c r="R19" s="60" t="str">
        <f>"(0.9)"</f>
        <v>(0.9)</v>
      </c>
    </row>
    <row r="20" spans="1:18" x14ac:dyDescent="0.25">
      <c r="A20" s="87"/>
      <c r="B20" s="87"/>
      <c r="C20" s="90"/>
      <c r="D20" s="75" t="s">
        <v>7</v>
      </c>
      <c r="E20" s="63" t="str">
        <f>"14.8"</f>
        <v>14.8</v>
      </c>
      <c r="F20" s="64" t="str">
        <f>"(1.4)"</f>
        <v>(1.4)</v>
      </c>
      <c r="G20" s="65" t="str">
        <f>"14.2"</f>
        <v>14.2</v>
      </c>
      <c r="H20" s="65" t="str">
        <f>"(1.3)"</f>
        <v>(1.3)</v>
      </c>
      <c r="I20" s="63" t="str">
        <f>"17.6"</f>
        <v>17.6</v>
      </c>
      <c r="J20" s="64" t="str">
        <f>"(1.7)"</f>
        <v>(1.7)</v>
      </c>
      <c r="K20" s="65" t="str">
        <f>"16.4"</f>
        <v>16.4</v>
      </c>
      <c r="L20" s="65" t="str">
        <f>"(1.3)"</f>
        <v>(1.3)</v>
      </c>
      <c r="M20" s="63" t="str">
        <f>"17.4"</f>
        <v>17.4</v>
      </c>
      <c r="N20" s="64" t="str">
        <f>"(1.8)"</f>
        <v>(1.8)</v>
      </c>
      <c r="O20" s="65" t="str">
        <f>"14.7"</f>
        <v>14.7</v>
      </c>
      <c r="P20" s="65" t="str">
        <f>"(1.3)"</f>
        <v>(1.3)</v>
      </c>
      <c r="Q20" s="63" t="str">
        <f>"16.0"</f>
        <v>16.0</v>
      </c>
      <c r="R20" s="64" t="str">
        <f>"(0.7)"</f>
        <v>(0.7)</v>
      </c>
    </row>
    <row r="21" spans="1:18" x14ac:dyDescent="0.25">
      <c r="A21" s="87"/>
      <c r="B21" s="87"/>
      <c r="C21" s="90"/>
      <c r="D21" s="75" t="s">
        <v>8</v>
      </c>
      <c r="E21" s="63" t="str">
        <f>"22.2"</f>
        <v>22.2</v>
      </c>
      <c r="F21" s="64" t="str">
        <f>"(1.4)"</f>
        <v>(1.4)</v>
      </c>
      <c r="G21" s="65" t="str">
        <f>"19.6"</f>
        <v>19.6</v>
      </c>
      <c r="H21" s="65" t="str">
        <f>"(1.3)"</f>
        <v>(1.3)</v>
      </c>
      <c r="I21" s="63" t="str">
        <f>"20.9"</f>
        <v>20.9</v>
      </c>
      <c r="J21" s="64" t="str">
        <f>"(1.3)"</f>
        <v>(1.3)</v>
      </c>
      <c r="K21" s="65" t="str">
        <f>"20.5"</f>
        <v>20.5</v>
      </c>
      <c r="L21" s="65" t="str">
        <f>"(1.1)"</f>
        <v>(1.1)</v>
      </c>
      <c r="M21" s="63" t="str">
        <f>"19.3"</f>
        <v>19.3</v>
      </c>
      <c r="N21" s="64" t="str">
        <f>"(1.3)"</f>
        <v>(1.3)</v>
      </c>
      <c r="O21" s="65" t="str">
        <f>"21.2"</f>
        <v>21.2</v>
      </c>
      <c r="P21" s="65" t="str">
        <f>"(1.5)"</f>
        <v>(1.5)</v>
      </c>
      <c r="Q21" s="63" t="str">
        <f>"21.0"</f>
        <v>21.0</v>
      </c>
      <c r="R21" s="64" t="str">
        <f>"(0.8)"</f>
        <v>(0.8)</v>
      </c>
    </row>
    <row r="22" spans="1:18" x14ac:dyDescent="0.25">
      <c r="A22" s="87"/>
      <c r="B22" s="87"/>
      <c r="C22" s="90"/>
      <c r="D22" s="75" t="s">
        <v>9</v>
      </c>
      <c r="E22" s="63" t="str">
        <f>"30.9"</f>
        <v>30.9</v>
      </c>
      <c r="F22" s="64" t="str">
        <f>"(1.7)"</f>
        <v>(1.7)</v>
      </c>
      <c r="G22" s="65" t="str">
        <f>"34.7"</f>
        <v>34.7</v>
      </c>
      <c r="H22" s="65" t="str">
        <f>"(1.6)"</f>
        <v>(1.6)</v>
      </c>
      <c r="I22" s="63" t="str">
        <f>"36.8"</f>
        <v>36.8</v>
      </c>
      <c r="J22" s="64" t="str">
        <f>"(1.6)"</f>
        <v>(1.6)</v>
      </c>
      <c r="K22" s="65" t="str">
        <f>"37.1"</f>
        <v>37.1</v>
      </c>
      <c r="L22" s="65" t="str">
        <f>"(1.7)"</f>
        <v>(1.7)</v>
      </c>
      <c r="M22" s="63" t="str">
        <f>"36.4"</f>
        <v>36.4</v>
      </c>
      <c r="N22" s="64" t="str">
        <f>"(1.9)"</f>
        <v>(1.9)</v>
      </c>
      <c r="O22" s="65" t="str">
        <f>"38.0"</f>
        <v>38.0</v>
      </c>
      <c r="P22" s="65" t="str">
        <f>"(1.8)"</f>
        <v>(1.8)</v>
      </c>
      <c r="Q22" s="63" t="str">
        <f>"35.1"</f>
        <v>35.1</v>
      </c>
      <c r="R22" s="64" t="str">
        <f>"(1.1)"</f>
        <v>(1.1)</v>
      </c>
    </row>
    <row r="23" spans="1:18" x14ac:dyDescent="0.25">
      <c r="A23" s="87"/>
      <c r="B23" s="87"/>
      <c r="C23" s="90"/>
      <c r="D23" s="75" t="s">
        <v>10</v>
      </c>
      <c r="E23" s="63"/>
      <c r="F23" s="64"/>
      <c r="G23" s="65"/>
      <c r="H23" s="65"/>
      <c r="I23" s="63"/>
      <c r="J23" s="64"/>
      <c r="K23" s="65"/>
      <c r="L23" s="65"/>
      <c r="M23" s="63"/>
      <c r="N23" s="64"/>
      <c r="O23" s="65"/>
      <c r="P23" s="65"/>
      <c r="Q23" s="63"/>
      <c r="R23" s="64"/>
    </row>
    <row r="24" spans="1:18" s="2" customFormat="1" x14ac:dyDescent="0.25">
      <c r="A24" s="87"/>
      <c r="B24" s="87"/>
      <c r="C24" s="91"/>
      <c r="D24" s="76" t="str">
        <f t="shared" ref="D24" si="1">"Total"</f>
        <v>Total</v>
      </c>
      <c r="E24" s="71" t="s">
        <v>51</v>
      </c>
      <c r="F24" s="72" t="s">
        <v>52</v>
      </c>
      <c r="G24" s="73" t="s">
        <v>51</v>
      </c>
      <c r="H24" s="73" t="s">
        <v>52</v>
      </c>
      <c r="I24" s="71" t="s">
        <v>51</v>
      </c>
      <c r="J24" s="72" t="s">
        <v>52</v>
      </c>
      <c r="K24" s="73" t="s">
        <v>51</v>
      </c>
      <c r="L24" s="73" t="s">
        <v>52</v>
      </c>
      <c r="M24" s="71" t="s">
        <v>51</v>
      </c>
      <c r="N24" s="72" t="s">
        <v>52</v>
      </c>
      <c r="O24" s="73" t="s">
        <v>51</v>
      </c>
      <c r="P24" s="73" t="s">
        <v>52</v>
      </c>
      <c r="Q24" s="71" t="s">
        <v>51</v>
      </c>
      <c r="R24" s="72" t="s">
        <v>52</v>
      </c>
    </row>
    <row r="25" spans="1:18" x14ac:dyDescent="0.25">
      <c r="A25" s="87"/>
      <c r="B25" s="87"/>
      <c r="C25" s="92" t="s">
        <v>270</v>
      </c>
      <c r="D25" t="s">
        <v>6</v>
      </c>
      <c r="E25" s="56" t="str">
        <f>"33.7"</f>
        <v>33.7</v>
      </c>
      <c r="F25" s="49" t="str">
        <f>"(0.7)"</f>
        <v>(0.7)</v>
      </c>
      <c r="G25" s="1" t="str">
        <f>"35.1"</f>
        <v>35.1</v>
      </c>
      <c r="H25" s="1" t="str">
        <f>"(0.9)"</f>
        <v>(0.9)</v>
      </c>
      <c r="I25" s="56" t="str">
        <f>"34.9"</f>
        <v>34.9</v>
      </c>
      <c r="J25" s="49" t="str">
        <f>"(0.7)"</f>
        <v>(0.7)</v>
      </c>
      <c r="K25" s="1" t="str">
        <f>"31.8"</f>
        <v>31.8</v>
      </c>
      <c r="L25" s="1" t="str">
        <f>"(0.9)"</f>
        <v>(0.9)</v>
      </c>
      <c r="M25" s="56" t="str">
        <f>"33.3"</f>
        <v>33.3</v>
      </c>
      <c r="N25" s="49" t="str">
        <f>"(0.7)"</f>
        <v>(0.7)</v>
      </c>
      <c r="O25" s="1" t="str">
        <f>"33.0"</f>
        <v>33.0</v>
      </c>
      <c r="P25" s="1" t="str">
        <f>"(0.8)"</f>
        <v>(0.8)</v>
      </c>
      <c r="Q25" s="56" t="str">
        <f>"32.9"</f>
        <v>32.9</v>
      </c>
      <c r="R25" s="49" t="str">
        <f>"(0.5)"</f>
        <v>(0.5)</v>
      </c>
    </row>
    <row r="26" spans="1:18" x14ac:dyDescent="0.25">
      <c r="A26" s="87"/>
      <c r="B26" s="87"/>
      <c r="C26" s="92"/>
      <c r="D26" t="s">
        <v>7</v>
      </c>
      <c r="E26" s="56" t="str">
        <f>"36.7"</f>
        <v>36.7</v>
      </c>
      <c r="F26" s="49" t="str">
        <f>"(0.8)"</f>
        <v>(0.8)</v>
      </c>
      <c r="G26" s="1" t="str">
        <f>"36.4"</f>
        <v>36.4</v>
      </c>
      <c r="H26" s="1" t="str">
        <f>"(0.8)"</f>
        <v>(0.8)</v>
      </c>
      <c r="I26" s="56" t="str">
        <f>"36.5"</f>
        <v>36.5</v>
      </c>
      <c r="J26" s="49" t="str">
        <f>"(0.8)"</f>
        <v>(0.8)</v>
      </c>
      <c r="K26" s="1" t="str">
        <f>"36.3"</f>
        <v>36.3</v>
      </c>
      <c r="L26" s="1" t="str">
        <f>"(0.8)"</f>
        <v>(0.8)</v>
      </c>
      <c r="M26" s="56" t="str">
        <f>"34.8"</f>
        <v>34.8</v>
      </c>
      <c r="N26" s="49" t="str">
        <f>"(0.8)"</f>
        <v>(0.8)</v>
      </c>
      <c r="O26" s="1" t="str">
        <f>"33.6"</f>
        <v>33.6</v>
      </c>
      <c r="P26" s="1" t="str">
        <f>"(0.7)"</f>
        <v>(0.7)</v>
      </c>
      <c r="Q26" s="56" t="str">
        <f>"35.0"</f>
        <v>35.0</v>
      </c>
      <c r="R26" s="49" t="str">
        <f>"(0.4)"</f>
        <v>(0.4)</v>
      </c>
    </row>
    <row r="27" spans="1:18" x14ac:dyDescent="0.25">
      <c r="A27" s="87"/>
      <c r="B27" s="87"/>
      <c r="C27" s="92"/>
      <c r="D27" t="s">
        <v>8</v>
      </c>
      <c r="E27" s="56" t="str">
        <f>"2.1"</f>
        <v>2.1</v>
      </c>
      <c r="F27" s="49" t="str">
        <f>"(0.2)"</f>
        <v>(0.2)</v>
      </c>
      <c r="G27" s="1" t="str">
        <f>"2.4"</f>
        <v>2.4</v>
      </c>
      <c r="H27" s="1" t="str">
        <f>"(0.2)"</f>
        <v>(0.2)</v>
      </c>
      <c r="I27" s="56" t="str">
        <f>"2.3"</f>
        <v>2.3</v>
      </c>
      <c r="J27" s="49" t="str">
        <f>"(0.2)"</f>
        <v>(0.2)</v>
      </c>
      <c r="K27" s="1" t="str">
        <f>"2.7"</f>
        <v>2.7</v>
      </c>
      <c r="L27" s="1" t="str">
        <f>"(0.3)"</f>
        <v>(0.3)</v>
      </c>
      <c r="M27" s="56" t="str">
        <f>"2.9"</f>
        <v>2.9</v>
      </c>
      <c r="N27" s="49" t="str">
        <f>"(0.4)"</f>
        <v>(0.4)</v>
      </c>
      <c r="O27" s="1" t="str">
        <f>"2.3"</f>
        <v>2.3</v>
      </c>
      <c r="P27" s="1" t="str">
        <f>"(0.2)"</f>
        <v>(0.2)</v>
      </c>
      <c r="Q27" s="56" t="str">
        <f>"5.6"</f>
        <v>5.6</v>
      </c>
      <c r="R27" s="49" t="str">
        <f>"(0.3)"</f>
        <v>(0.3)</v>
      </c>
    </row>
    <row r="28" spans="1:18" x14ac:dyDescent="0.25">
      <c r="A28" s="87"/>
      <c r="B28" s="87"/>
      <c r="C28" s="92"/>
      <c r="D28" t="s">
        <v>9</v>
      </c>
      <c r="E28" s="56" t="str">
        <f>"27.5"</f>
        <v>27.5</v>
      </c>
      <c r="F28" s="49" t="str">
        <f>"(0.7)"</f>
        <v>(0.7)</v>
      </c>
      <c r="G28" s="1" t="str">
        <f>"26.1"</f>
        <v>26.1</v>
      </c>
      <c r="H28" s="1" t="str">
        <f>"(0.7)"</f>
        <v>(0.7)</v>
      </c>
      <c r="I28" s="56" t="str">
        <f>"26.3"</f>
        <v>26.3</v>
      </c>
      <c r="J28" s="49" t="str">
        <f>"(0.7)"</f>
        <v>(0.7)</v>
      </c>
      <c r="K28" s="1" t="str">
        <f>"29.3"</f>
        <v>29.3</v>
      </c>
      <c r="L28" s="1" t="str">
        <f>"(0.7)"</f>
        <v>(0.7)</v>
      </c>
      <c r="M28" s="56" t="str">
        <f>"29.1"</f>
        <v>29.1</v>
      </c>
      <c r="N28" s="49" t="str">
        <f>"(0.7)"</f>
        <v>(0.7)</v>
      </c>
      <c r="O28" s="1" t="str">
        <f>"31.0"</f>
        <v>31.0</v>
      </c>
      <c r="P28" s="1" t="str">
        <f>"(0.7)"</f>
        <v>(0.7)</v>
      </c>
      <c r="Q28" s="56" t="str">
        <f>"26.5"</f>
        <v>26.5</v>
      </c>
      <c r="R28" s="49" t="str">
        <f>"(0.4)"</f>
        <v>(0.4)</v>
      </c>
    </row>
    <row r="29" spans="1:18" x14ac:dyDescent="0.25">
      <c r="A29" s="87"/>
      <c r="B29" s="87"/>
      <c r="C29" s="92"/>
      <c r="D29" t="s">
        <v>10</v>
      </c>
      <c r="E29" s="56"/>
      <c r="F29" s="49"/>
      <c r="I29" s="56"/>
      <c r="J29" s="49"/>
      <c r="M29" s="56"/>
      <c r="N29" s="49"/>
      <c r="Q29" s="56"/>
      <c r="R29" s="49"/>
    </row>
    <row r="30" spans="1:18" s="2" customFormat="1" x14ac:dyDescent="0.25">
      <c r="A30" s="87"/>
      <c r="B30" s="88"/>
      <c r="C30" s="93"/>
      <c r="D30" s="4" t="str">
        <f t="shared" ref="D30" si="2">"Total"</f>
        <v>Total</v>
      </c>
      <c r="E30" s="24" t="s">
        <v>51</v>
      </c>
      <c r="F30" s="16" t="s">
        <v>52</v>
      </c>
      <c r="G30" s="6" t="s">
        <v>51</v>
      </c>
      <c r="H30" s="6" t="s">
        <v>52</v>
      </c>
      <c r="I30" s="24" t="s">
        <v>51</v>
      </c>
      <c r="J30" s="16" t="s">
        <v>52</v>
      </c>
      <c r="K30" s="6" t="s">
        <v>51</v>
      </c>
      <c r="L30" s="6" t="s">
        <v>52</v>
      </c>
      <c r="M30" s="24" t="s">
        <v>51</v>
      </c>
      <c r="N30" s="16" t="s">
        <v>52</v>
      </c>
      <c r="O30" s="6" t="s">
        <v>51</v>
      </c>
      <c r="P30" s="6" t="s">
        <v>52</v>
      </c>
      <c r="Q30" s="24" t="s">
        <v>51</v>
      </c>
      <c r="R30" s="16" t="s">
        <v>52</v>
      </c>
    </row>
    <row r="31" spans="1:18" ht="15" customHeight="1" x14ac:dyDescent="0.25">
      <c r="A31" s="87"/>
      <c r="B31" s="86" t="s">
        <v>2</v>
      </c>
      <c r="C31" s="89" t="s">
        <v>269</v>
      </c>
      <c r="D31" s="74" t="s">
        <v>6</v>
      </c>
      <c r="E31" s="59" t="str">
        <f>"26.4"</f>
        <v>26.4</v>
      </c>
      <c r="F31" s="60" t="str">
        <f>"(2.3)"</f>
        <v>(2.3)</v>
      </c>
      <c r="G31" s="61" t="str">
        <f>"26.5"</f>
        <v>26.5</v>
      </c>
      <c r="H31" s="61" t="str">
        <f>"(1.9)"</f>
        <v>(1.9)</v>
      </c>
      <c r="I31" s="59" t="str">
        <f>"24.3"</f>
        <v>24.3</v>
      </c>
      <c r="J31" s="60" t="str">
        <f>"(1.7)"</f>
        <v>(1.7)</v>
      </c>
      <c r="K31" s="61" t="str">
        <f>"23.3"</f>
        <v>23.3</v>
      </c>
      <c r="L31" s="61" t="str">
        <f>"(1.9)"</f>
        <v>(1.9)</v>
      </c>
      <c r="M31" s="59" t="str">
        <f>"24.9"</f>
        <v>24.9</v>
      </c>
      <c r="N31" s="60" t="str">
        <f>"(1.8)"</f>
        <v>(1.8)</v>
      </c>
      <c r="O31" s="61" t="str">
        <f>"24.6"</f>
        <v>24.6</v>
      </c>
      <c r="P31" s="61" t="str">
        <f>"(2.0)"</f>
        <v>(2.0)</v>
      </c>
      <c r="Q31" s="59" t="str">
        <f>"27.4"</f>
        <v>27.4</v>
      </c>
      <c r="R31" s="60" t="str">
        <f>"(1.1)"</f>
        <v>(1.1)</v>
      </c>
    </row>
    <row r="32" spans="1:18" x14ac:dyDescent="0.25">
      <c r="A32" s="87"/>
      <c r="B32" s="87"/>
      <c r="C32" s="90"/>
      <c r="D32" s="75" t="s">
        <v>7</v>
      </c>
      <c r="E32" s="63" t="str">
        <f>"15.7"</f>
        <v>15.7</v>
      </c>
      <c r="F32" s="64" t="str">
        <f>"(1.7)"</f>
        <v>(1.7)</v>
      </c>
      <c r="G32" s="65" t="str">
        <f>"13.1"</f>
        <v>13.1</v>
      </c>
      <c r="H32" s="65" t="str">
        <f>"(1.7)"</f>
        <v>(1.7)</v>
      </c>
      <c r="I32" s="63" t="str">
        <f>"13.8"</f>
        <v>13.8</v>
      </c>
      <c r="J32" s="64" t="str">
        <f>"(1.6)"</f>
        <v>(1.6)</v>
      </c>
      <c r="K32" s="65" t="str">
        <f>"15.4"</f>
        <v>15.4</v>
      </c>
      <c r="L32" s="65" t="str">
        <f>"(1.8)"</f>
        <v>(1.8)</v>
      </c>
      <c r="M32" s="63" t="str">
        <f>"16.1"</f>
        <v>16.1</v>
      </c>
      <c r="N32" s="64" t="str">
        <f>"(1.8)"</f>
        <v>(1.8)</v>
      </c>
      <c r="O32" s="65" t="str">
        <f>"12.9"</f>
        <v>12.9</v>
      </c>
      <c r="P32" s="65" t="str">
        <f>"(1.5)"</f>
        <v>(1.5)</v>
      </c>
      <c r="Q32" s="63" t="str">
        <f>"12.8"</f>
        <v>12.8</v>
      </c>
      <c r="R32" s="64" t="str">
        <f>"(0.8)"</f>
        <v>(0.8)</v>
      </c>
    </row>
    <row r="33" spans="1:18" x14ac:dyDescent="0.25">
      <c r="A33" s="87"/>
      <c r="B33" s="87"/>
      <c r="C33" s="90"/>
      <c r="D33" s="75" t="s">
        <v>8</v>
      </c>
      <c r="E33" s="63" t="str">
        <f>"29.8"</f>
        <v>29.8</v>
      </c>
      <c r="F33" s="64" t="str">
        <f>"(1.8)"</f>
        <v>(1.8)</v>
      </c>
      <c r="G33" s="65" t="str">
        <f>"31.8"</f>
        <v>31.8</v>
      </c>
      <c r="H33" s="65" t="str">
        <f>"(2.1)"</f>
        <v>(2.1)</v>
      </c>
      <c r="I33" s="63" t="str">
        <f>"30.3"</f>
        <v>30.3</v>
      </c>
      <c r="J33" s="64" t="str">
        <f>"(1.9)"</f>
        <v>(1.9)</v>
      </c>
      <c r="K33" s="65" t="str">
        <f>"28.9"</f>
        <v>28.9</v>
      </c>
      <c r="L33" s="65" t="str">
        <f>"(1.7)"</f>
        <v>(1.7)</v>
      </c>
      <c r="M33" s="63" t="str">
        <f>"26.3"</f>
        <v>26.3</v>
      </c>
      <c r="N33" s="64" t="str">
        <f>"(2.0)"</f>
        <v>(2.0)</v>
      </c>
      <c r="O33" s="65" t="str">
        <f>"27.5"</f>
        <v>27.5</v>
      </c>
      <c r="P33" s="65" t="str">
        <f>"(2.1)"</f>
        <v>(2.1)</v>
      </c>
      <c r="Q33" s="63" t="str">
        <f>"26.6"</f>
        <v>26.6</v>
      </c>
      <c r="R33" s="64" t="str">
        <f>"(1.1)"</f>
        <v>(1.1)</v>
      </c>
    </row>
    <row r="34" spans="1:18" x14ac:dyDescent="0.25">
      <c r="A34" s="87"/>
      <c r="B34" s="87"/>
      <c r="C34" s="90"/>
      <c r="D34" s="75" t="s">
        <v>9</v>
      </c>
      <c r="E34" s="63" t="str">
        <f>"28.2"</f>
        <v>28.2</v>
      </c>
      <c r="F34" s="64" t="str">
        <f>"(1.7)"</f>
        <v>(1.7)</v>
      </c>
      <c r="G34" s="65" t="str">
        <f>"28.6"</f>
        <v>28.6</v>
      </c>
      <c r="H34" s="65" t="str">
        <f>"(1.8)"</f>
        <v>(1.8)</v>
      </c>
      <c r="I34" s="63" t="str">
        <f>"31.6"</f>
        <v>31.6</v>
      </c>
      <c r="J34" s="64" t="str">
        <f>"(1.8)"</f>
        <v>(1.8)</v>
      </c>
      <c r="K34" s="65" t="str">
        <f>"32.4"</f>
        <v>32.4</v>
      </c>
      <c r="L34" s="65" t="str">
        <f>"(1.8)"</f>
        <v>(1.8)</v>
      </c>
      <c r="M34" s="63" t="str">
        <f>"32.7"</f>
        <v>32.7</v>
      </c>
      <c r="N34" s="64" t="str">
        <f>"(2.0)"</f>
        <v>(2.0)</v>
      </c>
      <c r="O34" s="65" t="str">
        <f>"34.9"</f>
        <v>34.9</v>
      </c>
      <c r="P34" s="65" t="str">
        <f>"(2.0)"</f>
        <v>(2.0)</v>
      </c>
      <c r="Q34" s="63" t="str">
        <f>"33.2"</f>
        <v>33.2</v>
      </c>
      <c r="R34" s="64" t="str">
        <f>"(1.3)"</f>
        <v>(1.3)</v>
      </c>
    </row>
    <row r="35" spans="1:18" x14ac:dyDescent="0.25">
      <c r="A35" s="87"/>
      <c r="B35" s="87"/>
      <c r="C35" s="90"/>
      <c r="D35" s="75" t="s">
        <v>10</v>
      </c>
      <c r="E35" s="63"/>
      <c r="F35" s="64"/>
      <c r="G35" s="65"/>
      <c r="H35" s="65"/>
      <c r="I35" s="63"/>
      <c r="J35" s="64"/>
      <c r="K35" s="65"/>
      <c r="L35" s="65"/>
      <c r="M35" s="63"/>
      <c r="N35" s="64"/>
      <c r="O35" s="65"/>
      <c r="P35" s="65"/>
      <c r="Q35" s="63"/>
      <c r="R35" s="64"/>
    </row>
    <row r="36" spans="1:18" s="2" customFormat="1" x14ac:dyDescent="0.25">
      <c r="A36" s="87"/>
      <c r="B36" s="87"/>
      <c r="C36" s="91"/>
      <c r="D36" s="76" t="str">
        <f t="shared" ref="D36" si="3">"Total"</f>
        <v>Total</v>
      </c>
      <c r="E36" s="71" t="s">
        <v>51</v>
      </c>
      <c r="F36" s="72" t="s">
        <v>52</v>
      </c>
      <c r="G36" s="73" t="s">
        <v>51</v>
      </c>
      <c r="H36" s="73" t="s">
        <v>52</v>
      </c>
      <c r="I36" s="71" t="s">
        <v>51</v>
      </c>
      <c r="J36" s="72" t="s">
        <v>52</v>
      </c>
      <c r="K36" s="73" t="s">
        <v>51</v>
      </c>
      <c r="L36" s="73" t="s">
        <v>52</v>
      </c>
      <c r="M36" s="71" t="s">
        <v>51</v>
      </c>
      <c r="N36" s="72" t="s">
        <v>52</v>
      </c>
      <c r="O36" s="73" t="s">
        <v>51</v>
      </c>
      <c r="P36" s="73" t="s">
        <v>52</v>
      </c>
      <c r="Q36" s="71" t="s">
        <v>51</v>
      </c>
      <c r="R36" s="72" t="s">
        <v>52</v>
      </c>
    </row>
    <row r="37" spans="1:18" x14ac:dyDescent="0.25">
      <c r="A37" s="87"/>
      <c r="B37" s="87"/>
      <c r="C37" s="92" t="s">
        <v>270</v>
      </c>
      <c r="D37" t="s">
        <v>6</v>
      </c>
      <c r="E37" s="56" t="str">
        <f>"34.2"</f>
        <v>34.2</v>
      </c>
      <c r="F37" s="49" t="str">
        <f>"(0.7)"</f>
        <v>(0.7)</v>
      </c>
      <c r="G37" s="1" t="str">
        <f>"35.3"</f>
        <v>35.3</v>
      </c>
      <c r="H37" s="1" t="str">
        <f>"(0.9)"</f>
        <v>(0.9)</v>
      </c>
      <c r="I37" s="56" t="str">
        <f>"33.9"</f>
        <v>33.9</v>
      </c>
      <c r="J37" s="49" t="str">
        <f>"(0.7)"</f>
        <v>(0.7)</v>
      </c>
      <c r="K37" s="1" t="str">
        <f>"31.7"</f>
        <v>31.7</v>
      </c>
      <c r="L37" s="1" t="str">
        <f>"(0.8)"</f>
        <v>(0.8)</v>
      </c>
      <c r="M37" s="56" t="str">
        <f>"33.0"</f>
        <v>33.0</v>
      </c>
      <c r="N37" s="49" t="str">
        <f>"(0.6)"</f>
        <v>(0.6)</v>
      </c>
      <c r="O37" s="1" t="str">
        <f>"32.7"</f>
        <v>32.7</v>
      </c>
      <c r="P37" s="1" t="str">
        <f>"(0.7)"</f>
        <v>(0.7)</v>
      </c>
      <c r="Q37" s="56" t="str">
        <f>"32.6"</f>
        <v>32.6</v>
      </c>
      <c r="R37" s="49" t="str">
        <f>"(0.4)"</f>
        <v>(0.4)</v>
      </c>
    </row>
    <row r="38" spans="1:18" x14ac:dyDescent="0.25">
      <c r="A38" s="87"/>
      <c r="B38" s="87"/>
      <c r="C38" s="92"/>
      <c r="D38" t="s">
        <v>7</v>
      </c>
      <c r="E38" s="56" t="str">
        <f>"34.9"</f>
        <v>34.9</v>
      </c>
      <c r="F38" s="49" t="str">
        <f>"(0.7)"</f>
        <v>(0.7)</v>
      </c>
      <c r="G38" s="1" t="str">
        <f>"33.8"</f>
        <v>33.8</v>
      </c>
      <c r="H38" s="1" t="str">
        <f>"(0.7)"</f>
        <v>(0.7)</v>
      </c>
      <c r="I38" s="56" t="str">
        <f>"35.1"</f>
        <v>35.1</v>
      </c>
      <c r="J38" s="49" t="str">
        <f>"(0.8)"</f>
        <v>(0.8)</v>
      </c>
      <c r="K38" s="1" t="str">
        <f>"34.8"</f>
        <v>34.8</v>
      </c>
      <c r="L38" s="1" t="str">
        <f>"(0.7)"</f>
        <v>(0.7)</v>
      </c>
      <c r="M38" s="56" t="str">
        <f>"33.7"</f>
        <v>33.7</v>
      </c>
      <c r="N38" s="49" t="str">
        <f>"(0.7)"</f>
        <v>(0.7)</v>
      </c>
      <c r="O38" s="1" t="str">
        <f>"32.4"</f>
        <v>32.4</v>
      </c>
      <c r="P38" s="1" t="str">
        <f>"(0.7)"</f>
        <v>(0.7)</v>
      </c>
      <c r="Q38" s="56" t="str">
        <f>"33.8"</f>
        <v>33.8</v>
      </c>
      <c r="R38" s="49" t="str">
        <f>"(0.4)"</f>
        <v>(0.4)</v>
      </c>
    </row>
    <row r="39" spans="1:18" x14ac:dyDescent="0.25">
      <c r="A39" s="87"/>
      <c r="B39" s="87"/>
      <c r="C39" s="92"/>
      <c r="D39" t="s">
        <v>8</v>
      </c>
      <c r="E39" s="56" t="str">
        <f>"2.8"</f>
        <v>2.8</v>
      </c>
      <c r="F39" s="49" t="str">
        <f>"(0.3)"</f>
        <v>(0.3)</v>
      </c>
      <c r="G39" s="1" t="str">
        <f>"3.0"</f>
        <v>3.0</v>
      </c>
      <c r="H39" s="1" t="str">
        <f>"(0.3)"</f>
        <v>(0.3)</v>
      </c>
      <c r="I39" s="56" t="str">
        <f>"2.9"</f>
        <v>2.9</v>
      </c>
      <c r="J39" s="49" t="str">
        <f>"(0.3)"</f>
        <v>(0.3)</v>
      </c>
      <c r="K39" s="1" t="str">
        <f>"3.0"</f>
        <v>3.0</v>
      </c>
      <c r="L39" s="1" t="str">
        <f>"(0.3)"</f>
        <v>(0.3)</v>
      </c>
      <c r="M39" s="56" t="str">
        <f>"3.3"</f>
        <v>3.3</v>
      </c>
      <c r="N39" s="49" t="str">
        <f>"(0.3)"</f>
        <v>(0.3)</v>
      </c>
      <c r="O39" s="1" t="str">
        <f>"3.0"</f>
        <v>3.0</v>
      </c>
      <c r="P39" s="1" t="str">
        <f>"(0.2)"</f>
        <v>(0.2)</v>
      </c>
      <c r="Q39" s="56" t="str">
        <f>"6.3"</f>
        <v>6.3</v>
      </c>
      <c r="R39" s="49" t="str">
        <f>"(0.3)"</f>
        <v>(0.3)</v>
      </c>
    </row>
    <row r="40" spans="1:18" x14ac:dyDescent="0.25">
      <c r="A40" s="87"/>
      <c r="B40" s="87"/>
      <c r="C40" s="92"/>
      <c r="D40" t="s">
        <v>9</v>
      </c>
      <c r="E40" s="56" t="str">
        <f>"28.1"</f>
        <v>28.1</v>
      </c>
      <c r="F40" s="49" t="str">
        <f>"(0.7)"</f>
        <v>(0.7)</v>
      </c>
      <c r="G40" s="1" t="str">
        <f>"27.9"</f>
        <v>27.9</v>
      </c>
      <c r="H40" s="1" t="str">
        <f>"(0.7)"</f>
        <v>(0.7)</v>
      </c>
      <c r="I40" s="56" t="str">
        <f>"28.1"</f>
        <v>28.1</v>
      </c>
      <c r="J40" s="49" t="str">
        <f>"(0.7)"</f>
        <v>(0.7)</v>
      </c>
      <c r="K40" s="1" t="str">
        <f>"30.5"</f>
        <v>30.5</v>
      </c>
      <c r="L40" s="1" t="str">
        <f>"(0.7)"</f>
        <v>(0.7)</v>
      </c>
      <c r="M40" s="56" t="str">
        <f>"30.0"</f>
        <v>30.0</v>
      </c>
      <c r="N40" s="49" t="str">
        <f>"(0.7)"</f>
        <v>(0.7)</v>
      </c>
      <c r="O40" s="1" t="str">
        <f>"31.9"</f>
        <v>31.9</v>
      </c>
      <c r="P40" s="1" t="str">
        <f>"(0.7)"</f>
        <v>(0.7)</v>
      </c>
      <c r="Q40" s="56" t="str">
        <f>"27.4"</f>
        <v>27.4</v>
      </c>
      <c r="R40" s="49" t="str">
        <f>"(0.4)"</f>
        <v>(0.4)</v>
      </c>
    </row>
    <row r="41" spans="1:18" x14ac:dyDescent="0.25">
      <c r="A41" s="87"/>
      <c r="B41" s="87"/>
      <c r="C41" s="92"/>
      <c r="D41" t="s">
        <v>10</v>
      </c>
      <c r="E41" s="56"/>
      <c r="F41" s="49"/>
      <c r="I41" s="56"/>
      <c r="J41" s="49"/>
      <c r="M41" s="56"/>
      <c r="N41" s="49"/>
      <c r="Q41" s="56"/>
      <c r="R41" s="49"/>
    </row>
    <row r="42" spans="1:18" s="2" customFormat="1" x14ac:dyDescent="0.25">
      <c r="A42" s="88"/>
      <c r="B42" s="88"/>
      <c r="C42" s="93"/>
      <c r="D42" s="4" t="str">
        <f t="shared" ref="D42" si="4">"Total"</f>
        <v>Total</v>
      </c>
      <c r="E42" s="24" t="s">
        <v>51</v>
      </c>
      <c r="F42" s="16" t="s">
        <v>52</v>
      </c>
      <c r="G42" s="6" t="s">
        <v>51</v>
      </c>
      <c r="H42" s="6" t="s">
        <v>52</v>
      </c>
      <c r="I42" s="24" t="s">
        <v>51</v>
      </c>
      <c r="J42" s="16" t="s">
        <v>52</v>
      </c>
      <c r="K42" s="6" t="s">
        <v>51</v>
      </c>
      <c r="L42" s="6" t="s">
        <v>52</v>
      </c>
      <c r="M42" s="24" t="s">
        <v>51</v>
      </c>
      <c r="N42" s="16" t="s">
        <v>52</v>
      </c>
      <c r="O42" s="6" t="s">
        <v>51</v>
      </c>
      <c r="P42" s="6" t="s">
        <v>52</v>
      </c>
      <c r="Q42" s="24" t="s">
        <v>51</v>
      </c>
      <c r="R42" s="16" t="s">
        <v>52</v>
      </c>
    </row>
    <row r="43" spans="1:18" ht="15" customHeight="1" x14ac:dyDescent="0.25">
      <c r="A43" s="86" t="s">
        <v>104</v>
      </c>
      <c r="B43" s="86" t="s">
        <v>0</v>
      </c>
      <c r="C43" s="89" t="s">
        <v>269</v>
      </c>
      <c r="D43" s="74" t="s">
        <v>6</v>
      </c>
      <c r="E43" s="59" t="str">
        <f>"63.0"</f>
        <v>63.0</v>
      </c>
      <c r="F43" s="60" t="str">
        <f>"(6.6)"</f>
        <v>(6.6)</v>
      </c>
      <c r="G43" s="61" t="str">
        <f>"56.6"</f>
        <v>56.6</v>
      </c>
      <c r="H43" s="61" t="str">
        <f>"(5.8)"</f>
        <v>(5.8)</v>
      </c>
      <c r="I43" s="59" t="str">
        <f>"51.0"</f>
        <v>51.0</v>
      </c>
      <c r="J43" s="60" t="str">
        <f>"(5.0)"</f>
        <v>(5.0)</v>
      </c>
      <c r="K43" s="61" t="str">
        <f>"59.7"</f>
        <v>59.7</v>
      </c>
      <c r="L43" s="61" t="str">
        <f>"(5.1)"</f>
        <v>(5.1)</v>
      </c>
      <c r="M43" s="59" t="str">
        <f>"36.1"</f>
        <v>36.1</v>
      </c>
      <c r="N43" s="60" t="str">
        <f>"(5.1)"</f>
        <v>(5.1)</v>
      </c>
      <c r="O43" s="61" t="str">
        <f>"42.0"</f>
        <v>42.0</v>
      </c>
      <c r="P43" s="61" t="str">
        <f>"(5.9)"</f>
        <v>(5.9)</v>
      </c>
      <c r="Q43" s="59" t="str">
        <f>"52.4"</f>
        <v>52.4</v>
      </c>
      <c r="R43" s="60" t="str">
        <f>"(3.0)"</f>
        <v>(3.0)</v>
      </c>
    </row>
    <row r="44" spans="1:18" x14ac:dyDescent="0.25">
      <c r="A44" s="87"/>
      <c r="B44" s="87"/>
      <c r="C44" s="90"/>
      <c r="D44" s="75" t="s">
        <v>7</v>
      </c>
      <c r="E44" s="63" t="str">
        <f>"13.0"</f>
        <v>13.0</v>
      </c>
      <c r="F44" s="64" t="str">
        <f>"(3.6)"</f>
        <v>(3.6)</v>
      </c>
      <c r="G44" s="65" t="str">
        <f>"13.8"</f>
        <v>13.8</v>
      </c>
      <c r="H44" s="65" t="str">
        <f>"(4.1)"</f>
        <v>(4.1)</v>
      </c>
      <c r="I44" s="63" t="str">
        <f>"21.6"</f>
        <v>21.6</v>
      </c>
      <c r="J44" s="64" t="str">
        <f>"(4.1)"</f>
        <v>(4.1)</v>
      </c>
      <c r="K44" s="65" t="str">
        <f>"13.5"</f>
        <v>13.5</v>
      </c>
      <c r="L44" s="65" t="str">
        <f>"(3.2)"</f>
        <v>(3.2)</v>
      </c>
      <c r="M44" s="63" t="str">
        <f>"28.7"</f>
        <v>28.7</v>
      </c>
      <c r="N44" s="64" t="str">
        <f>"(5.0)"</f>
        <v>(5.0)</v>
      </c>
      <c r="O44" s="65" t="str">
        <f>"32.1"</f>
        <v>32.1</v>
      </c>
      <c r="P44" s="65" t="str">
        <f>"(5.8)"</f>
        <v>(5.8)</v>
      </c>
      <c r="Q44" s="63" t="str">
        <f>"22.8"</f>
        <v>22.8</v>
      </c>
      <c r="R44" s="64" t="str">
        <f>"(2.2)"</f>
        <v>(2.2)</v>
      </c>
    </row>
    <row r="45" spans="1:18" x14ac:dyDescent="0.25">
      <c r="A45" s="87"/>
      <c r="B45" s="87"/>
      <c r="C45" s="90"/>
      <c r="D45" s="75" t="s">
        <v>8</v>
      </c>
      <c r="E45" s="63" t="str">
        <f>"5.2"</f>
        <v>5.2</v>
      </c>
      <c r="F45" s="64" t="str">
        <f>"(3.7)"</f>
        <v>(3.7)</v>
      </c>
      <c r="G45" s="65" t="str">
        <f>"6.7"</f>
        <v>6.7</v>
      </c>
      <c r="H45" s="65" t="str">
        <f>"(3.9)"</f>
        <v>(3.9)</v>
      </c>
      <c r="I45" s="63" t="str">
        <f>"9.6"</f>
        <v>9.6</v>
      </c>
      <c r="J45" s="64" t="str">
        <f>"(2.8)"</f>
        <v>(2.8)</v>
      </c>
      <c r="K45" s="65" t="str">
        <f>"12.0"</f>
        <v>12.0</v>
      </c>
      <c r="L45" s="65" t="str">
        <f>"(4.5)"</f>
        <v>(4.5)</v>
      </c>
      <c r="M45" s="63" t="str">
        <f>"15.0"</f>
        <v>15.0</v>
      </c>
      <c r="N45" s="64" t="str">
        <f>"(4.5)"</f>
        <v>(4.5)</v>
      </c>
      <c r="O45" s="65" t="str">
        <f>"12.6"</f>
        <v>12.6</v>
      </c>
      <c r="P45" s="65" t="str">
        <f>"(4.0)"</f>
        <v>(4.0)</v>
      </c>
      <c r="Q45" s="63" t="str">
        <f>"8.7"</f>
        <v>8.7</v>
      </c>
      <c r="R45" s="64" t="str">
        <f>"(1.4)"</f>
        <v>(1.4)</v>
      </c>
    </row>
    <row r="46" spans="1:18" x14ac:dyDescent="0.25">
      <c r="A46" s="87"/>
      <c r="B46" s="87"/>
      <c r="C46" s="90"/>
      <c r="D46" s="75" t="s">
        <v>9</v>
      </c>
      <c r="E46" s="63" t="str">
        <f>"16.1"</f>
        <v>16.1</v>
      </c>
      <c r="F46" s="64" t="str">
        <f>"(7.3)"</f>
        <v>(7.3)</v>
      </c>
      <c r="G46" s="65" t="str">
        <f>"22.9"</f>
        <v>22.9</v>
      </c>
      <c r="H46" s="65" t="str">
        <f>"(5.2)"</f>
        <v>(5.2)</v>
      </c>
      <c r="I46" s="63" t="str">
        <f>"16.9"</f>
        <v>16.9</v>
      </c>
      <c r="J46" s="64" t="str">
        <f>"(5.1)"</f>
        <v>(5.1)</v>
      </c>
      <c r="K46" s="65" t="str">
        <f>"13.2"</f>
        <v>13.2</v>
      </c>
      <c r="L46" s="65" t="str">
        <f>"(4.0)"</f>
        <v>(4.0)</v>
      </c>
      <c r="M46" s="63" t="str">
        <f>"20.2"</f>
        <v>20.2</v>
      </c>
      <c r="N46" s="64" t="str">
        <f>"(4.3)"</f>
        <v>(4.3)</v>
      </c>
      <c r="O46" s="65" t="str">
        <f>"11.7"</f>
        <v>11.7</v>
      </c>
      <c r="P46" s="65" t="str">
        <f>"(4.2)"</f>
        <v>(4.2)</v>
      </c>
      <c r="Q46" s="63" t="str">
        <f>"13.7"</f>
        <v>13.7</v>
      </c>
      <c r="R46" s="64" t="str">
        <f>"(2.1)"</f>
        <v>(2.1)</v>
      </c>
    </row>
    <row r="47" spans="1:18" x14ac:dyDescent="0.25">
      <c r="A47" s="87"/>
      <c r="B47" s="87"/>
      <c r="C47" s="90"/>
      <c r="D47" s="75" t="s">
        <v>10</v>
      </c>
      <c r="E47" s="63" t="str">
        <f>"2.7"</f>
        <v>2.7</v>
      </c>
      <c r="F47" s="64" t="str">
        <f>"(2.0)"</f>
        <v>(2.0)</v>
      </c>
      <c r="G47" s="65" t="str">
        <f>"0.0"</f>
        <v>0.0</v>
      </c>
      <c r="H47" s="65" t="str">
        <f>"(0.0)"</f>
        <v>(0.0)</v>
      </c>
      <c r="I47" s="63" t="str">
        <f>"1.0"</f>
        <v>1.0</v>
      </c>
      <c r="J47" s="64" t="str">
        <f>"(1.0)"</f>
        <v>(1.0)</v>
      </c>
      <c r="K47" s="65" t="str">
        <f>"1.6"</f>
        <v>1.6</v>
      </c>
      <c r="L47" s="65" t="str">
        <f>"(1.0)"</f>
        <v>(1.0)</v>
      </c>
      <c r="M47" s="63" t="str">
        <f>"0.0"</f>
        <v>0.0</v>
      </c>
      <c r="N47" s="64" t="str">
        <f>"(0.0)"</f>
        <v>(0.0)</v>
      </c>
      <c r="O47" s="65" t="str">
        <f>"1.6"</f>
        <v>1.6</v>
      </c>
      <c r="P47" s="65" t="str">
        <f>"(1.0)"</f>
        <v>(1.0)</v>
      </c>
      <c r="Q47" s="63" t="str">
        <f>"2.4"</f>
        <v>2.4</v>
      </c>
      <c r="R47" s="64" t="str">
        <f>"(1.1)"</f>
        <v>(1.1)</v>
      </c>
    </row>
    <row r="48" spans="1:18" s="2" customFormat="1" x14ac:dyDescent="0.25">
      <c r="A48" s="87"/>
      <c r="B48" s="87"/>
      <c r="C48" s="91"/>
      <c r="D48" s="76" t="str">
        <f>"Total"</f>
        <v>Total</v>
      </c>
      <c r="E48" s="71" t="s">
        <v>51</v>
      </c>
      <c r="F48" s="72" t="s">
        <v>52</v>
      </c>
      <c r="G48" s="73" t="s">
        <v>51</v>
      </c>
      <c r="H48" s="73" t="s">
        <v>52</v>
      </c>
      <c r="I48" s="71" t="s">
        <v>51</v>
      </c>
      <c r="J48" s="72" t="s">
        <v>52</v>
      </c>
      <c r="K48" s="73" t="s">
        <v>51</v>
      </c>
      <c r="L48" s="73" t="s">
        <v>52</v>
      </c>
      <c r="M48" s="71" t="s">
        <v>51</v>
      </c>
      <c r="N48" s="72" t="s">
        <v>52</v>
      </c>
      <c r="O48" s="73" t="s">
        <v>51</v>
      </c>
      <c r="P48" s="73" t="s">
        <v>52</v>
      </c>
      <c r="Q48" s="71" t="s">
        <v>51</v>
      </c>
      <c r="R48" s="72" t="s">
        <v>52</v>
      </c>
    </row>
    <row r="49" spans="1:18" x14ac:dyDescent="0.25">
      <c r="A49" s="87"/>
      <c r="B49" s="87"/>
      <c r="C49" s="92" t="s">
        <v>270</v>
      </c>
      <c r="D49" t="s">
        <v>6</v>
      </c>
      <c r="E49" s="56" t="str">
        <f>"80.4"</f>
        <v>80.4</v>
      </c>
      <c r="F49" s="49" t="str">
        <f>"(1.3)"</f>
        <v>(1.3)</v>
      </c>
      <c r="G49" s="1" t="str">
        <f>"77.6"</f>
        <v>77.6</v>
      </c>
      <c r="H49" s="1" t="str">
        <f>"(1.5)"</f>
        <v>(1.5)</v>
      </c>
      <c r="I49" s="56" t="str">
        <f>"75.4"</f>
        <v>75.4</v>
      </c>
      <c r="J49" s="49" t="str">
        <f>"(1.6)"</f>
        <v>(1.6)</v>
      </c>
      <c r="K49" s="1" t="str">
        <f>"73.6"</f>
        <v>73.6</v>
      </c>
      <c r="L49" s="1" t="str">
        <f>"(1.3)"</f>
        <v>(1.3)</v>
      </c>
      <c r="M49" s="56" t="str">
        <f>"72.4"</f>
        <v>72.4</v>
      </c>
      <c r="N49" s="49" t="str">
        <f>"(1.4)"</f>
        <v>(1.4)</v>
      </c>
      <c r="O49" s="1" t="str">
        <f>"68.6"</f>
        <v>68.6</v>
      </c>
      <c r="P49" s="1" t="str">
        <f>"(1.5)"</f>
        <v>(1.5)</v>
      </c>
      <c r="Q49" s="56" t="str">
        <f>"68.4"</f>
        <v>68.4</v>
      </c>
      <c r="R49" s="49" t="str">
        <f>"(0.8)"</f>
        <v>(0.8)</v>
      </c>
    </row>
    <row r="50" spans="1:18" x14ac:dyDescent="0.25">
      <c r="A50" s="87"/>
      <c r="B50" s="87"/>
      <c r="C50" s="92"/>
      <c r="D50" t="s">
        <v>7</v>
      </c>
      <c r="E50" s="56" t="str">
        <f>"8.9"</f>
        <v>8.9</v>
      </c>
      <c r="F50" s="49" t="str">
        <f>"(0.8)"</f>
        <v>(0.8)</v>
      </c>
      <c r="G50" s="1" t="str">
        <f>"9.1"</f>
        <v>9.1</v>
      </c>
      <c r="H50" s="1" t="str">
        <f>"(0.9)"</f>
        <v>(0.9)</v>
      </c>
      <c r="I50" s="56" t="str">
        <f>"10.1"</f>
        <v>10.1</v>
      </c>
      <c r="J50" s="49" t="str">
        <f>"(1.0)"</f>
        <v>(1.0)</v>
      </c>
      <c r="K50" s="1" t="str">
        <f>"9.5"</f>
        <v>9.5</v>
      </c>
      <c r="L50" s="1" t="str">
        <f>"(0.9)"</f>
        <v>(0.9)</v>
      </c>
      <c r="M50" s="56" t="str">
        <f>"9.0"</f>
        <v>9.0</v>
      </c>
      <c r="N50" s="49" t="str">
        <f>"(0.7)"</f>
        <v>(0.7)</v>
      </c>
      <c r="O50" s="1" t="str">
        <f>"8.9"</f>
        <v>8.9</v>
      </c>
      <c r="P50" s="1" t="str">
        <f>"(0.7)"</f>
        <v>(0.7)</v>
      </c>
      <c r="Q50" s="56" t="str">
        <f>"11.2"</f>
        <v>11.2</v>
      </c>
      <c r="R50" s="49" t="str">
        <f>"(0.5)"</f>
        <v>(0.5)</v>
      </c>
    </row>
    <row r="51" spans="1:18" x14ac:dyDescent="0.25">
      <c r="A51" s="87"/>
      <c r="B51" s="87"/>
      <c r="C51" s="92"/>
      <c r="D51" t="s">
        <v>8</v>
      </c>
      <c r="E51" s="56" t="str">
        <f>"2.4"</f>
        <v>2.4</v>
      </c>
      <c r="F51" s="49" t="str">
        <f>"(0.4)"</f>
        <v>(0.4)</v>
      </c>
      <c r="G51" s="1" t="str">
        <f>"3.3"</f>
        <v>3.3</v>
      </c>
      <c r="H51" s="1" t="str">
        <f>"(0.6)"</f>
        <v>(0.6)</v>
      </c>
      <c r="I51" s="56" t="str">
        <f>"2.7"</f>
        <v>2.7</v>
      </c>
      <c r="J51" s="49" t="str">
        <f>"(0.5)"</f>
        <v>(0.5)</v>
      </c>
      <c r="K51" s="1" t="str">
        <f>"4.1"</f>
        <v>4.1</v>
      </c>
      <c r="L51" s="1" t="str">
        <f>"(0.6)"</f>
        <v>(0.6)</v>
      </c>
      <c r="M51" s="56" t="str">
        <f>"4.3"</f>
        <v>4.3</v>
      </c>
      <c r="N51" s="49" t="str">
        <f>"(0.6)"</f>
        <v>(0.6)</v>
      </c>
      <c r="O51" s="1" t="str">
        <f>"4.7"</f>
        <v>4.7</v>
      </c>
      <c r="P51" s="1" t="str">
        <f>"(0.8)"</f>
        <v>(0.8)</v>
      </c>
      <c r="Q51" s="56" t="str">
        <f>"3.5"</f>
        <v>3.5</v>
      </c>
      <c r="R51" s="49" t="str">
        <f>"(0.3)"</f>
        <v>(0.3)</v>
      </c>
    </row>
    <row r="52" spans="1:18" x14ac:dyDescent="0.25">
      <c r="A52" s="87"/>
      <c r="B52" s="87"/>
      <c r="C52" s="92"/>
      <c r="D52" t="s">
        <v>9</v>
      </c>
      <c r="E52" s="56" t="str">
        <f>"7.9"</f>
        <v>7.9</v>
      </c>
      <c r="F52" s="49" t="str">
        <f>"(0.9)"</f>
        <v>(0.9)</v>
      </c>
      <c r="G52" s="1" t="str">
        <f>"9.8"</f>
        <v>9.8</v>
      </c>
      <c r="H52" s="1" t="str">
        <f>"(1.1)"</f>
        <v>(1.1)</v>
      </c>
      <c r="I52" s="56" t="str">
        <f>"11.3"</f>
        <v>11.3</v>
      </c>
      <c r="J52" s="49" t="str">
        <f>"(1.2)"</f>
        <v>(1.2)</v>
      </c>
      <c r="K52" s="1" t="str">
        <f>"12.1"</f>
        <v>12.1</v>
      </c>
      <c r="L52" s="1" t="str">
        <f>"(1.1)"</f>
        <v>(1.1)</v>
      </c>
      <c r="M52" s="56" t="str">
        <f>"12.6"</f>
        <v>12.6</v>
      </c>
      <c r="N52" s="49" t="str">
        <f>"(1.0)"</f>
        <v>(1.0)</v>
      </c>
      <c r="O52" s="1" t="str">
        <f>"16.6"</f>
        <v>16.6</v>
      </c>
      <c r="P52" s="1" t="str">
        <f>"(1.0)"</f>
        <v>(1.0)</v>
      </c>
      <c r="Q52" s="56" t="str">
        <f>"15.6"</f>
        <v>15.6</v>
      </c>
      <c r="R52" s="49" t="str">
        <f>"(0.7)"</f>
        <v>(0.7)</v>
      </c>
    </row>
    <row r="53" spans="1:18" x14ac:dyDescent="0.25">
      <c r="A53" s="87"/>
      <c r="B53" s="87"/>
      <c r="C53" s="92"/>
      <c r="D53" t="s">
        <v>10</v>
      </c>
      <c r="E53" s="56" t="str">
        <f>"0.4"</f>
        <v>0.4</v>
      </c>
      <c r="F53" s="49" t="str">
        <f>"(0.2)"</f>
        <v>(0.2)</v>
      </c>
      <c r="G53" s="1" t="str">
        <f>"0.3"</f>
        <v>0.3</v>
      </c>
      <c r="H53" s="1" t="str">
        <f>"(0.2)"</f>
        <v>(0.2)</v>
      </c>
      <c r="I53" s="56" t="str">
        <f>"0.4"</f>
        <v>0.4</v>
      </c>
      <c r="J53" s="49" t="str">
        <f>"(0.2)"</f>
        <v>(0.2)</v>
      </c>
      <c r="K53" s="1" t="str">
        <f>"0.8"</f>
        <v>0.8</v>
      </c>
      <c r="L53" s="1" t="str">
        <f>"(0.3)"</f>
        <v>(0.3)</v>
      </c>
      <c r="M53" s="56" t="str">
        <f>"1.7"</f>
        <v>1.7</v>
      </c>
      <c r="N53" s="49" t="str">
        <f>"(0.4)"</f>
        <v>(0.4)</v>
      </c>
      <c r="O53" s="1" t="str">
        <f>"1.2"</f>
        <v>1.2</v>
      </c>
      <c r="P53" s="1" t="str">
        <f>"(0.3)"</f>
        <v>(0.3)</v>
      </c>
      <c r="Q53" s="56" t="str">
        <f>"1.3"</f>
        <v>1.3</v>
      </c>
      <c r="R53" s="49" t="str">
        <f>"(0.2)"</f>
        <v>(0.2)</v>
      </c>
    </row>
    <row r="54" spans="1:18" s="2" customFormat="1" x14ac:dyDescent="0.25">
      <c r="A54" s="87"/>
      <c r="B54" s="88"/>
      <c r="C54" s="93"/>
      <c r="D54" s="4" t="str">
        <f t="shared" ref="D54" si="5">"Total"</f>
        <v>Total</v>
      </c>
      <c r="E54" s="24" t="s">
        <v>51</v>
      </c>
      <c r="F54" s="16" t="s">
        <v>52</v>
      </c>
      <c r="G54" s="6" t="s">
        <v>51</v>
      </c>
      <c r="H54" s="6" t="s">
        <v>52</v>
      </c>
      <c r="I54" s="24" t="s">
        <v>51</v>
      </c>
      <c r="J54" s="16" t="s">
        <v>52</v>
      </c>
      <c r="K54" s="6" t="s">
        <v>51</v>
      </c>
      <c r="L54" s="6" t="s">
        <v>52</v>
      </c>
      <c r="M54" s="24" t="s">
        <v>51</v>
      </c>
      <c r="N54" s="16" t="s">
        <v>52</v>
      </c>
      <c r="O54" s="6" t="s">
        <v>51</v>
      </c>
      <c r="P54" s="6" t="s">
        <v>52</v>
      </c>
      <c r="Q54" s="24" t="s">
        <v>51</v>
      </c>
      <c r="R54" s="16" t="s">
        <v>52</v>
      </c>
    </row>
    <row r="55" spans="1:18" x14ac:dyDescent="0.25">
      <c r="A55" s="87"/>
      <c r="B55" s="86" t="s">
        <v>1</v>
      </c>
      <c r="C55" s="89" t="s">
        <v>269</v>
      </c>
      <c r="D55" s="74" t="s">
        <v>6</v>
      </c>
      <c r="E55" s="59" t="str">
        <f>"59.0"</f>
        <v>59.0</v>
      </c>
      <c r="F55" s="60" t="str">
        <f>"(5.6)"</f>
        <v>(5.6)</v>
      </c>
      <c r="G55" s="61" t="str">
        <f>"57.3"</f>
        <v>57.3</v>
      </c>
      <c r="H55" s="61" t="str">
        <f>"(5.1)"</f>
        <v>(5.1)</v>
      </c>
      <c r="I55" s="59" t="str">
        <f>"54.9"</f>
        <v>54.9</v>
      </c>
      <c r="J55" s="60" t="str">
        <f>"(5.0)"</f>
        <v>(5.0)</v>
      </c>
      <c r="K55" s="61" t="str">
        <f>"59.7"</f>
        <v>59.7</v>
      </c>
      <c r="L55" s="61" t="str">
        <f>"(4.4)"</f>
        <v>(4.4)</v>
      </c>
      <c r="M55" s="59" t="str">
        <f>"40.4"</f>
        <v>40.4</v>
      </c>
      <c r="N55" s="60" t="str">
        <f>"(5.1)"</f>
        <v>(5.1)</v>
      </c>
      <c r="O55" s="61" t="str">
        <f>"44.8"</f>
        <v>44.8</v>
      </c>
      <c r="P55" s="61" t="str">
        <f>"(5.0)"</f>
        <v>(5.0)</v>
      </c>
      <c r="Q55" s="59" t="str">
        <f>"53.9"</f>
        <v>53.9</v>
      </c>
      <c r="R55" s="60" t="str">
        <f>"(2.9)"</f>
        <v>(2.9)</v>
      </c>
    </row>
    <row r="56" spans="1:18" x14ac:dyDescent="0.25">
      <c r="A56" s="87"/>
      <c r="B56" s="87"/>
      <c r="C56" s="90"/>
      <c r="D56" s="75" t="s">
        <v>7</v>
      </c>
      <c r="E56" s="63" t="str">
        <f>"17.9"</f>
        <v>17.9</v>
      </c>
      <c r="F56" s="64" t="str">
        <f>"(3.7)"</f>
        <v>(3.7)</v>
      </c>
      <c r="G56" s="65" t="str">
        <f>"15.8"</f>
        <v>15.8</v>
      </c>
      <c r="H56" s="65" t="str">
        <f>"(4.0)"</f>
        <v>(4.0)</v>
      </c>
      <c r="I56" s="63" t="str">
        <f>"24.1"</f>
        <v>24.1</v>
      </c>
      <c r="J56" s="64" t="str">
        <f>"(4.5)"</f>
        <v>(4.5)</v>
      </c>
      <c r="K56" s="65" t="str">
        <f>"12.9"</f>
        <v>12.9</v>
      </c>
      <c r="L56" s="65" t="str">
        <f>"(2.7)"</f>
        <v>(2.7)</v>
      </c>
      <c r="M56" s="63" t="str">
        <f>"27.5"</f>
        <v>27.5</v>
      </c>
      <c r="N56" s="64" t="str">
        <f>"(4.1)"</f>
        <v>(4.1)</v>
      </c>
      <c r="O56" s="65" t="str">
        <f>"30.7"</f>
        <v>30.7</v>
      </c>
      <c r="P56" s="65" t="str">
        <f>"(4.9)"</f>
        <v>(4.9)</v>
      </c>
      <c r="Q56" s="63" t="str">
        <f>"20.9"</f>
        <v>20.9</v>
      </c>
      <c r="R56" s="64" t="str">
        <f>"(2.0)"</f>
        <v>(2.0)</v>
      </c>
    </row>
    <row r="57" spans="1:18" x14ac:dyDescent="0.25">
      <c r="A57" s="87"/>
      <c r="B57" s="87"/>
      <c r="C57" s="90"/>
      <c r="D57" s="75" t="s">
        <v>8</v>
      </c>
      <c r="E57" s="63" t="str">
        <f>"4.4"</f>
        <v>4.4</v>
      </c>
      <c r="F57" s="64" t="str">
        <f>"(3.2)"</f>
        <v>(3.2)</v>
      </c>
      <c r="G57" s="65" t="str">
        <f>"8.8"</f>
        <v>8.8</v>
      </c>
      <c r="H57" s="65" t="str">
        <f>"(3.6)"</f>
        <v>(3.6)</v>
      </c>
      <c r="I57" s="63" t="str">
        <f>"7.2"</f>
        <v>7.2</v>
      </c>
      <c r="J57" s="64" t="str">
        <f>"(2.0)"</f>
        <v>(2.0)</v>
      </c>
      <c r="K57" s="65" t="str">
        <f>"13.7"</f>
        <v>13.7</v>
      </c>
      <c r="L57" s="65" t="str">
        <f>"(4.2)"</f>
        <v>(4.2)</v>
      </c>
      <c r="M57" s="63" t="str">
        <f>"14.2"</f>
        <v>14.2</v>
      </c>
      <c r="N57" s="64" t="str">
        <f>"(3.9)"</f>
        <v>(3.9)</v>
      </c>
      <c r="O57" s="65" t="str">
        <f>"13.8"</f>
        <v>13.8</v>
      </c>
      <c r="P57" s="65" t="str">
        <f>"(3.8)"</f>
        <v>(3.8)</v>
      </c>
      <c r="Q57" s="63" t="str">
        <f>"8.8"</f>
        <v>8.8</v>
      </c>
      <c r="R57" s="64" t="str">
        <f>"(1.3)"</f>
        <v>(1.3)</v>
      </c>
    </row>
    <row r="58" spans="1:18" x14ac:dyDescent="0.25">
      <c r="A58" s="87"/>
      <c r="B58" s="87"/>
      <c r="C58" s="90"/>
      <c r="D58" s="75" t="s">
        <v>9</v>
      </c>
      <c r="E58" s="63" t="str">
        <f>"16.5"</f>
        <v>16.5</v>
      </c>
      <c r="F58" s="64" t="str">
        <f>"(6.2)"</f>
        <v>(6.2)</v>
      </c>
      <c r="G58" s="65" t="str">
        <f>"18.1"</f>
        <v>18.1</v>
      </c>
      <c r="H58" s="65" t="str">
        <f>"(4.4)"</f>
        <v>(4.4)</v>
      </c>
      <c r="I58" s="63" t="str">
        <f>"13.2"</f>
        <v>13.2</v>
      </c>
      <c r="J58" s="64" t="str">
        <f>"(4.1)"</f>
        <v>(4.1)</v>
      </c>
      <c r="K58" s="65" t="str">
        <f>"12.1"</f>
        <v>12.1</v>
      </c>
      <c r="L58" s="65" t="str">
        <f>"(3.3)"</f>
        <v>(3.3)</v>
      </c>
      <c r="M58" s="63" t="str">
        <f>"17.9"</f>
        <v>17.9</v>
      </c>
      <c r="N58" s="64" t="str">
        <f>"(3.6)"</f>
        <v>(3.6)</v>
      </c>
      <c r="O58" s="65" t="str">
        <f>"9.4"</f>
        <v>9.4</v>
      </c>
      <c r="P58" s="65" t="str">
        <f>"(3.4)"</f>
        <v>(3.4)</v>
      </c>
      <c r="Q58" s="63" t="str">
        <f>"14.3"</f>
        <v>14.3</v>
      </c>
      <c r="R58" s="64" t="str">
        <f>"(2.0)"</f>
        <v>(2.0)</v>
      </c>
    </row>
    <row r="59" spans="1:18" x14ac:dyDescent="0.25">
      <c r="A59" s="87"/>
      <c r="B59" s="87"/>
      <c r="C59" s="90"/>
      <c r="D59" s="75" t="s">
        <v>10</v>
      </c>
      <c r="E59" s="63" t="str">
        <f>"2.3"</f>
        <v>2.3</v>
      </c>
      <c r="F59" s="64" t="str">
        <f>"(1.7)"</f>
        <v>(1.7)</v>
      </c>
      <c r="G59" s="65" t="s">
        <v>418</v>
      </c>
      <c r="H59" s="65" t="s">
        <v>418</v>
      </c>
      <c r="I59" s="63" t="s">
        <v>418</v>
      </c>
      <c r="J59" s="64" t="s">
        <v>418</v>
      </c>
      <c r="K59" s="65" t="str">
        <f>"1.6"</f>
        <v>1.6</v>
      </c>
      <c r="L59" s="65" t="str">
        <f>"(0.8)"</f>
        <v>(0.8)</v>
      </c>
      <c r="M59" s="63" t="s">
        <v>418</v>
      </c>
      <c r="N59" s="64" t="s">
        <v>418</v>
      </c>
      <c r="O59" s="65" t="s">
        <v>418</v>
      </c>
      <c r="P59" s="65" t="s">
        <v>418</v>
      </c>
      <c r="Q59" s="63" t="str">
        <f>"2.1"</f>
        <v>2.1</v>
      </c>
      <c r="R59" s="64" t="str">
        <f>"(0.9)"</f>
        <v>(0.9)</v>
      </c>
    </row>
    <row r="60" spans="1:18" s="2" customFormat="1" x14ac:dyDescent="0.25">
      <c r="A60" s="87"/>
      <c r="B60" s="87"/>
      <c r="C60" s="91"/>
      <c r="D60" s="76" t="str">
        <f t="shared" ref="D60" si="6">"Total"</f>
        <v>Total</v>
      </c>
      <c r="E60" s="71" t="s">
        <v>51</v>
      </c>
      <c r="F60" s="72" t="s">
        <v>52</v>
      </c>
      <c r="G60" s="73" t="s">
        <v>51</v>
      </c>
      <c r="H60" s="73" t="s">
        <v>52</v>
      </c>
      <c r="I60" s="71" t="s">
        <v>51</v>
      </c>
      <c r="J60" s="72" t="s">
        <v>52</v>
      </c>
      <c r="K60" s="73" t="s">
        <v>51</v>
      </c>
      <c r="L60" s="73" t="s">
        <v>52</v>
      </c>
      <c r="M60" s="71" t="s">
        <v>51</v>
      </c>
      <c r="N60" s="72" t="s">
        <v>52</v>
      </c>
      <c r="O60" s="73" t="s">
        <v>51</v>
      </c>
      <c r="P60" s="73" t="s">
        <v>52</v>
      </c>
      <c r="Q60" s="71" t="s">
        <v>51</v>
      </c>
      <c r="R60" s="72" t="s">
        <v>52</v>
      </c>
    </row>
    <row r="61" spans="1:18" x14ac:dyDescent="0.25">
      <c r="A61" s="87"/>
      <c r="B61" s="87"/>
      <c r="C61" s="92" t="s">
        <v>270</v>
      </c>
      <c r="D61" t="s">
        <v>6</v>
      </c>
      <c r="E61" s="56" t="str">
        <f>"80.9"</f>
        <v>80.9</v>
      </c>
      <c r="F61" s="49" t="str">
        <f>"(1.3)"</f>
        <v>(1.3)</v>
      </c>
      <c r="G61" s="1" t="str">
        <f>"78.1"</f>
        <v>78.1</v>
      </c>
      <c r="H61" s="1" t="str">
        <f>"(1.5)"</f>
        <v>(1.5)</v>
      </c>
      <c r="I61" s="56" t="str">
        <f>"76.0"</f>
        <v>76.0</v>
      </c>
      <c r="J61" s="49" t="str">
        <f>"(1.8)"</f>
        <v>(1.8)</v>
      </c>
      <c r="K61" s="1" t="str">
        <f>"73.8"</f>
        <v>73.8</v>
      </c>
      <c r="L61" s="1" t="str">
        <f>"(1.4)"</f>
        <v>(1.4)</v>
      </c>
      <c r="M61" s="56" t="str">
        <f>"72.7"</f>
        <v>72.7</v>
      </c>
      <c r="N61" s="49" t="str">
        <f>"(1.4)"</f>
        <v>(1.4)</v>
      </c>
      <c r="O61" s="1" t="str">
        <f>"68.8"</f>
        <v>68.8</v>
      </c>
      <c r="P61" s="1" t="str">
        <f>"(1.4)"</f>
        <v>(1.4)</v>
      </c>
      <c r="Q61" s="56" t="str">
        <f>"68.5"</f>
        <v>68.5</v>
      </c>
      <c r="R61" s="49" t="str">
        <f>"(0.8)"</f>
        <v>(0.8)</v>
      </c>
    </row>
    <row r="62" spans="1:18" x14ac:dyDescent="0.25">
      <c r="A62" s="87"/>
      <c r="B62" s="87"/>
      <c r="C62" s="92"/>
      <c r="D62" t="s">
        <v>7</v>
      </c>
      <c r="E62" s="56" t="str">
        <f>"8.4"</f>
        <v>8.4</v>
      </c>
      <c r="F62" s="49" t="str">
        <f>"(0.9)"</f>
        <v>(0.9)</v>
      </c>
      <c r="G62" s="1" t="str">
        <f>"8.7"</f>
        <v>8.7</v>
      </c>
      <c r="H62" s="1" t="str">
        <f>"(0.9)"</f>
        <v>(0.9)</v>
      </c>
      <c r="I62" s="56" t="str">
        <f>"9.3"</f>
        <v>9.3</v>
      </c>
      <c r="J62" s="49" t="str">
        <f>"(0.9)"</f>
        <v>(0.9)</v>
      </c>
      <c r="K62" s="1" t="str">
        <f>"9.4"</f>
        <v>9.4</v>
      </c>
      <c r="L62" s="1" t="str">
        <f>"(0.9)"</f>
        <v>(0.9)</v>
      </c>
      <c r="M62" s="56" t="str">
        <f>"8.8"</f>
        <v>8.8</v>
      </c>
      <c r="N62" s="49" t="str">
        <f>"(0.7)"</f>
        <v>(0.7)</v>
      </c>
      <c r="O62" s="1" t="str">
        <f>"8.7"</f>
        <v>8.7</v>
      </c>
      <c r="P62" s="1" t="str">
        <f>"(0.7)"</f>
        <v>(0.7)</v>
      </c>
      <c r="Q62" s="56" t="str">
        <f>"11.2"</f>
        <v>11.2</v>
      </c>
      <c r="R62" s="49" t="str">
        <f>"(0.5)"</f>
        <v>(0.5)</v>
      </c>
    </row>
    <row r="63" spans="1:18" x14ac:dyDescent="0.25">
      <c r="A63" s="87"/>
      <c r="B63" s="87"/>
      <c r="C63" s="92"/>
      <c r="D63" t="s">
        <v>8</v>
      </c>
      <c r="E63" s="56" t="str">
        <f>"2.5"</f>
        <v>2.5</v>
      </c>
      <c r="F63" s="49" t="str">
        <f>"(0.4)"</f>
        <v>(0.4)</v>
      </c>
      <c r="G63" s="1" t="str">
        <f>"2.9"</f>
        <v>2.9</v>
      </c>
      <c r="H63" s="1" t="str">
        <f>"(0.6)"</f>
        <v>(0.6)</v>
      </c>
      <c r="I63" s="56" t="str">
        <f>"2.7"</f>
        <v>2.7</v>
      </c>
      <c r="J63" s="49" t="str">
        <f>"(0.5)"</f>
        <v>(0.5)</v>
      </c>
      <c r="K63" s="1" t="str">
        <f>"3.8"</f>
        <v>3.8</v>
      </c>
      <c r="L63" s="1" t="str">
        <f>"(0.6)"</f>
        <v>(0.6)</v>
      </c>
      <c r="M63" s="56" t="str">
        <f>"4.1"</f>
        <v>4.1</v>
      </c>
      <c r="N63" s="49" t="str">
        <f>"(0.6)"</f>
        <v>(0.6)</v>
      </c>
      <c r="O63" s="1" t="str">
        <f>"4.5"</f>
        <v>4.5</v>
      </c>
      <c r="P63" s="1" t="str">
        <f>"(0.8)"</f>
        <v>(0.8)</v>
      </c>
      <c r="Q63" s="56" t="str">
        <f>"3.4"</f>
        <v>3.4</v>
      </c>
      <c r="R63" s="49" t="str">
        <f>"(0.3)"</f>
        <v>(0.3)</v>
      </c>
    </row>
    <row r="64" spans="1:18" x14ac:dyDescent="0.25">
      <c r="A64" s="87"/>
      <c r="B64" s="87"/>
      <c r="C64" s="92"/>
      <c r="D64" t="s">
        <v>9</v>
      </c>
      <c r="E64" s="56" t="str">
        <f>"7.7"</f>
        <v>7.7</v>
      </c>
      <c r="F64" s="49" t="str">
        <f>"(0.9)"</f>
        <v>(0.9)</v>
      </c>
      <c r="G64" s="1" t="str">
        <f>"9.9"</f>
        <v>9.9</v>
      </c>
      <c r="H64" s="1" t="str">
        <f>"(1.1)"</f>
        <v>(1.1)</v>
      </c>
      <c r="I64" s="56" t="str">
        <f>"11.5"</f>
        <v>11.5</v>
      </c>
      <c r="J64" s="49" t="str">
        <f>"(1.3)"</f>
        <v>(1.3)</v>
      </c>
      <c r="K64" s="1" t="str">
        <f>"12.1"</f>
        <v>12.1</v>
      </c>
      <c r="L64" s="1" t="str">
        <f>"(1.1)"</f>
        <v>(1.1)</v>
      </c>
      <c r="M64" s="56" t="str">
        <f>"12.7"</f>
        <v>12.7</v>
      </c>
      <c r="N64" s="49" t="str">
        <f>"(1.0)"</f>
        <v>(1.0)</v>
      </c>
      <c r="O64" s="1" t="str">
        <f>"16.8"</f>
        <v>16.8</v>
      </c>
      <c r="P64" s="1" t="str">
        <f>"(1.1)"</f>
        <v>(1.1)</v>
      </c>
      <c r="Q64" s="56" t="str">
        <f>"15.6"</f>
        <v>15.6</v>
      </c>
      <c r="R64" s="49" t="str">
        <f>"(0.7)"</f>
        <v>(0.7)</v>
      </c>
    </row>
    <row r="65" spans="1:18" x14ac:dyDescent="0.25">
      <c r="A65" s="87"/>
      <c r="B65" s="87"/>
      <c r="C65" s="92"/>
      <c r="D65" t="s">
        <v>10</v>
      </c>
      <c r="E65" s="56" t="str">
        <f>"0.4"</f>
        <v>0.4</v>
      </c>
      <c r="F65" s="49" t="str">
        <f>"(0.2)"</f>
        <v>(0.2)</v>
      </c>
      <c r="G65" s="1" t="str">
        <f>"0.3"</f>
        <v>0.3</v>
      </c>
      <c r="H65" s="1" t="str">
        <f>"(0.2)"</f>
        <v>(0.2)</v>
      </c>
      <c r="I65" s="56" t="str">
        <f>"0.4"</f>
        <v>0.4</v>
      </c>
      <c r="J65" s="49" t="str">
        <f>"(0.2)"</f>
        <v>(0.2)</v>
      </c>
      <c r="K65" s="1" t="str">
        <f>"0.8"</f>
        <v>0.8</v>
      </c>
      <c r="L65" s="1" t="str">
        <f>"(0.3)"</f>
        <v>(0.3)</v>
      </c>
      <c r="M65" s="56" t="str">
        <f>"1.7"</f>
        <v>1.7</v>
      </c>
      <c r="N65" s="49" t="str">
        <f>"(0.5)"</f>
        <v>(0.5)</v>
      </c>
      <c r="O65" s="1" t="str">
        <f>"1.2"</f>
        <v>1.2</v>
      </c>
      <c r="P65" s="1" t="str">
        <f>"(0.3)"</f>
        <v>(0.3)</v>
      </c>
      <c r="Q65" s="56" t="str">
        <f>"1.3"</f>
        <v>1.3</v>
      </c>
      <c r="R65" s="49" t="str">
        <f>"(0.2)"</f>
        <v>(0.2)</v>
      </c>
    </row>
    <row r="66" spans="1:18" s="2" customFormat="1" x14ac:dyDescent="0.25">
      <c r="A66" s="87"/>
      <c r="B66" s="88"/>
      <c r="C66" s="93"/>
      <c r="D66" s="4" t="str">
        <f t="shared" ref="D66" si="7">"Total"</f>
        <v>Total</v>
      </c>
      <c r="E66" s="24" t="s">
        <v>51</v>
      </c>
      <c r="F66" s="16" t="s">
        <v>52</v>
      </c>
      <c r="G66" s="6" t="s">
        <v>51</v>
      </c>
      <c r="H66" s="6" t="s">
        <v>52</v>
      </c>
      <c r="I66" s="24" t="s">
        <v>51</v>
      </c>
      <c r="J66" s="16" t="s">
        <v>52</v>
      </c>
      <c r="K66" s="6" t="s">
        <v>51</v>
      </c>
      <c r="L66" s="6" t="s">
        <v>52</v>
      </c>
      <c r="M66" s="24" t="s">
        <v>51</v>
      </c>
      <c r="N66" s="16" t="s">
        <v>52</v>
      </c>
      <c r="O66" s="6" t="s">
        <v>51</v>
      </c>
      <c r="P66" s="6" t="s">
        <v>52</v>
      </c>
      <c r="Q66" s="24" t="s">
        <v>51</v>
      </c>
      <c r="R66" s="16" t="s">
        <v>52</v>
      </c>
    </row>
    <row r="67" spans="1:18" ht="15" customHeight="1" x14ac:dyDescent="0.25">
      <c r="A67" s="87"/>
      <c r="B67" s="86" t="s">
        <v>2</v>
      </c>
      <c r="C67" s="89" t="s">
        <v>269</v>
      </c>
      <c r="D67" s="74" t="s">
        <v>6</v>
      </c>
      <c r="E67" s="59" t="str">
        <f>"63.1"</f>
        <v>63.1</v>
      </c>
      <c r="F67" s="60" t="str">
        <f>"(9.2)"</f>
        <v>(9.2)</v>
      </c>
      <c r="G67" s="61" t="str">
        <f>"60.7"</f>
        <v>60.7</v>
      </c>
      <c r="H67" s="61" t="str">
        <f>"(7.6)"</f>
        <v>(7.6)</v>
      </c>
      <c r="I67" s="59" t="str">
        <f>"49.4"</f>
        <v>49.4</v>
      </c>
      <c r="J67" s="60" t="str">
        <f>"(6.3)"</f>
        <v>(6.3)</v>
      </c>
      <c r="K67" s="61" t="str">
        <f>"61.7"</f>
        <v>61.7</v>
      </c>
      <c r="L67" s="61" t="str">
        <f>"(6.2)"</f>
        <v>(6.2)</v>
      </c>
      <c r="M67" s="59" t="str">
        <f>"34.3"</f>
        <v>34.3</v>
      </c>
      <c r="N67" s="60" t="str">
        <f>"(5.9)"</f>
        <v>(5.9)</v>
      </c>
      <c r="O67" s="61" t="str">
        <f>"47.4"</f>
        <v>47.4</v>
      </c>
      <c r="P67" s="61" t="str">
        <f>"(7.0)"</f>
        <v>(7.0)</v>
      </c>
      <c r="Q67" s="59" t="str">
        <f>"48.7"</f>
        <v>48.7</v>
      </c>
      <c r="R67" s="60" t="str">
        <f>"(3.8)"</f>
        <v>(3.8)</v>
      </c>
    </row>
    <row r="68" spans="1:18" x14ac:dyDescent="0.25">
      <c r="A68" s="87"/>
      <c r="B68" s="87"/>
      <c r="C68" s="90"/>
      <c r="D68" s="75" t="s">
        <v>7</v>
      </c>
      <c r="E68" s="63" t="str">
        <f>"12.7"</f>
        <v>12.7</v>
      </c>
      <c r="F68" s="64" t="str">
        <f>"(4.5)"</f>
        <v>(4.5)</v>
      </c>
      <c r="G68" s="65" t="str">
        <f>"9.5"</f>
        <v>9.5</v>
      </c>
      <c r="H68" s="65" t="str">
        <f>"(4.5)"</f>
        <v>(4.5)</v>
      </c>
      <c r="I68" s="63" t="str">
        <f>"22.0"</f>
        <v>22.0</v>
      </c>
      <c r="J68" s="64" t="str">
        <f>"(4.8)"</f>
        <v>(4.8)</v>
      </c>
      <c r="K68" s="65" t="str">
        <f>"14.3"</f>
        <v>14.3</v>
      </c>
      <c r="L68" s="65" t="str">
        <f>"(3.9)"</f>
        <v>(3.9)</v>
      </c>
      <c r="M68" s="63" t="str">
        <f>"34.7"</f>
        <v>34.7</v>
      </c>
      <c r="N68" s="64" t="str">
        <f>"(6.0)"</f>
        <v>(6.0)</v>
      </c>
      <c r="O68" s="65" t="str">
        <f>"34.2"</f>
        <v>34.2</v>
      </c>
      <c r="P68" s="65" t="str">
        <f>"(6.9)"</f>
        <v>(6.9)</v>
      </c>
      <c r="Q68" s="63" t="str">
        <f>"23.5"</f>
        <v>23.5</v>
      </c>
      <c r="R68" s="64" t="str">
        <f>"(3.7)"</f>
        <v>(3.7)</v>
      </c>
    </row>
    <row r="69" spans="1:18" x14ac:dyDescent="0.25">
      <c r="A69" s="87"/>
      <c r="B69" s="87"/>
      <c r="C69" s="90"/>
      <c r="D69" s="75" t="s">
        <v>8</v>
      </c>
      <c r="E69" s="63" t="str">
        <f>"4.8"</f>
        <v>4.8</v>
      </c>
      <c r="F69" s="64" t="str">
        <f>"(4.8)"</f>
        <v>(4.8)</v>
      </c>
      <c r="G69" s="65" t="str">
        <f>"11.0"</f>
        <v>11.0</v>
      </c>
      <c r="H69" s="65" t="str">
        <f>"(6.2)"</f>
        <v>(6.2)</v>
      </c>
      <c r="I69" s="63" t="str">
        <f>"7.3"</f>
        <v>7.3</v>
      </c>
      <c r="J69" s="64" t="str">
        <f>"(2.2)"</f>
        <v>(2.2)</v>
      </c>
      <c r="K69" s="65" t="str">
        <f>"6.4"</f>
        <v>6.4</v>
      </c>
      <c r="L69" s="65" t="str">
        <f>"(3.1)"</f>
        <v>(3.1)</v>
      </c>
      <c r="M69" s="63" t="str">
        <f>"14.2"</f>
        <v>14.2</v>
      </c>
      <c r="N69" s="64" t="str">
        <f>"(4.3)"</f>
        <v>(4.3)</v>
      </c>
      <c r="O69" s="65" t="str">
        <f>"6.2"</f>
        <v>6.2</v>
      </c>
      <c r="P69" s="65" t="str">
        <f>"(3.6)"</f>
        <v>(3.6)</v>
      </c>
      <c r="Q69" s="63" t="str">
        <f>"6.6"</f>
        <v>6.6</v>
      </c>
      <c r="R69" s="64" t="str">
        <f>"(1.9)"</f>
        <v>(1.9)</v>
      </c>
    </row>
    <row r="70" spans="1:18" x14ac:dyDescent="0.25">
      <c r="A70" s="87"/>
      <c r="B70" s="87"/>
      <c r="C70" s="90"/>
      <c r="D70" s="75" t="s">
        <v>9</v>
      </c>
      <c r="E70" s="63" t="str">
        <f>"18.2"</f>
        <v>18.2</v>
      </c>
      <c r="F70" s="64" t="str">
        <f>"(9.9)"</f>
        <v>(9.9)</v>
      </c>
      <c r="G70" s="65" t="str">
        <f>"18.8"</f>
        <v>18.8</v>
      </c>
      <c r="H70" s="65" t="str">
        <f>"(6.4)"</f>
        <v>(6.4)</v>
      </c>
      <c r="I70" s="63" t="str">
        <f>"19.7"</f>
        <v>19.7</v>
      </c>
      <c r="J70" s="64" t="str">
        <f>"(7.0)"</f>
        <v>(7.0)</v>
      </c>
      <c r="K70" s="65" t="str">
        <f>"15.9"</f>
        <v>15.9</v>
      </c>
      <c r="L70" s="65" t="str">
        <f>"(5.4)"</f>
        <v>(5.4)</v>
      </c>
      <c r="M70" s="63" t="str">
        <f>"16.8"</f>
        <v>16.8</v>
      </c>
      <c r="N70" s="64" t="str">
        <f>"(4.9)"</f>
        <v>(4.9)</v>
      </c>
      <c r="O70" s="65" t="str">
        <f>"10.8"</f>
        <v>10.8</v>
      </c>
      <c r="P70" s="65" t="str">
        <f>"(4.3)"</f>
        <v>(4.3)</v>
      </c>
      <c r="Q70" s="63" t="str">
        <f>"18.9"</f>
        <v>18.9</v>
      </c>
      <c r="R70" s="64" t="str">
        <f>"(2.9)"</f>
        <v>(2.9)</v>
      </c>
    </row>
    <row r="71" spans="1:18" x14ac:dyDescent="0.25">
      <c r="A71" s="87"/>
      <c r="B71" s="87"/>
      <c r="C71" s="90"/>
      <c r="D71" s="75" t="s">
        <v>10</v>
      </c>
      <c r="E71" s="63" t="s">
        <v>418</v>
      </c>
      <c r="F71" s="64" t="s">
        <v>418</v>
      </c>
      <c r="G71" s="65" t="s">
        <v>418</v>
      </c>
      <c r="H71" s="65" t="s">
        <v>418</v>
      </c>
      <c r="I71" s="63" t="s">
        <v>418</v>
      </c>
      <c r="J71" s="64" t="s">
        <v>418</v>
      </c>
      <c r="K71" s="65" t="s">
        <v>418</v>
      </c>
      <c r="L71" s="65" t="s">
        <v>418</v>
      </c>
      <c r="M71" s="63" t="s">
        <v>418</v>
      </c>
      <c r="N71" s="64" t="s">
        <v>418</v>
      </c>
      <c r="O71" s="65" t="s">
        <v>418</v>
      </c>
      <c r="P71" s="65" t="s">
        <v>418</v>
      </c>
      <c r="Q71" s="63" t="str">
        <f>"2.3"</f>
        <v>2.3</v>
      </c>
      <c r="R71" s="64" t="str">
        <f>"(1.5)"</f>
        <v>(1.5)</v>
      </c>
    </row>
    <row r="72" spans="1:18" s="2" customFormat="1" x14ac:dyDescent="0.25">
      <c r="A72" s="87"/>
      <c r="B72" s="87"/>
      <c r="C72" s="91"/>
      <c r="D72" s="76" t="str">
        <f t="shared" ref="D72" si="8">"Total"</f>
        <v>Total</v>
      </c>
      <c r="E72" s="71" t="s">
        <v>51</v>
      </c>
      <c r="F72" s="72" t="s">
        <v>52</v>
      </c>
      <c r="G72" s="73" t="s">
        <v>51</v>
      </c>
      <c r="H72" s="73" t="s">
        <v>52</v>
      </c>
      <c r="I72" s="71" t="s">
        <v>51</v>
      </c>
      <c r="J72" s="72" t="s">
        <v>52</v>
      </c>
      <c r="K72" s="73" t="s">
        <v>51</v>
      </c>
      <c r="L72" s="73" t="s">
        <v>52</v>
      </c>
      <c r="M72" s="71" t="s">
        <v>51</v>
      </c>
      <c r="N72" s="72" t="s">
        <v>52</v>
      </c>
      <c r="O72" s="73" t="s">
        <v>51</v>
      </c>
      <c r="P72" s="73" t="s">
        <v>52</v>
      </c>
      <c r="Q72" s="71" t="s">
        <v>51</v>
      </c>
      <c r="R72" s="72" t="s">
        <v>52</v>
      </c>
    </row>
    <row r="73" spans="1:18" x14ac:dyDescent="0.25">
      <c r="A73" s="87"/>
      <c r="B73" s="87"/>
      <c r="C73" s="92" t="s">
        <v>270</v>
      </c>
      <c r="D73" t="s">
        <v>6</v>
      </c>
      <c r="E73" s="56" t="str">
        <f>"80.0"</f>
        <v>80.0</v>
      </c>
      <c r="F73" s="49" t="str">
        <f>"(1.3)"</f>
        <v>(1.3)</v>
      </c>
      <c r="G73" s="1" t="str">
        <f>"76.8"</f>
        <v>76.8</v>
      </c>
      <c r="H73" s="1" t="str">
        <f>"(1.5)"</f>
        <v>(1.5)</v>
      </c>
      <c r="I73" s="56" t="str">
        <f>"74.9"</f>
        <v>74.9</v>
      </c>
      <c r="J73" s="49" t="str">
        <f>"(1.6)"</f>
        <v>(1.6)</v>
      </c>
      <c r="K73" s="1" t="str">
        <f>"73.2"</f>
        <v>73.2</v>
      </c>
      <c r="L73" s="1" t="str">
        <f>"(1.4)"</f>
        <v>(1.4)</v>
      </c>
      <c r="M73" s="56" t="str">
        <f>"71.7"</f>
        <v>71.7</v>
      </c>
      <c r="N73" s="49" t="str">
        <f>"(1.4)"</f>
        <v>(1.4)</v>
      </c>
      <c r="O73" s="1" t="str">
        <f>"67.8"</f>
        <v>67.8</v>
      </c>
      <c r="P73" s="1" t="str">
        <f>"(1.4)"</f>
        <v>(1.4)</v>
      </c>
      <c r="Q73" s="56" t="str">
        <f>"68.0"</f>
        <v>68.0</v>
      </c>
      <c r="R73" s="49" t="str">
        <f>"(0.8)"</f>
        <v>(0.8)</v>
      </c>
    </row>
    <row r="74" spans="1:18" x14ac:dyDescent="0.25">
      <c r="A74" s="87"/>
      <c r="B74" s="87"/>
      <c r="C74" s="92"/>
      <c r="D74" t="s">
        <v>7</v>
      </c>
      <c r="E74" s="56" t="str">
        <f>"9.0"</f>
        <v>9.0</v>
      </c>
      <c r="F74" s="49" t="str">
        <f>"(0.8)"</f>
        <v>(0.8)</v>
      </c>
      <c r="G74" s="1" t="str">
        <f>"9.4"</f>
        <v>9.4</v>
      </c>
      <c r="H74" s="1" t="str">
        <f>"(0.9)"</f>
        <v>(0.9)</v>
      </c>
      <c r="I74" s="56" t="str">
        <f>"10.4"</f>
        <v>10.4</v>
      </c>
      <c r="J74" s="49" t="str">
        <f>"(1.0)"</f>
        <v>(1.0)</v>
      </c>
      <c r="K74" s="1" t="str">
        <f>"9.5"</f>
        <v>9.5</v>
      </c>
      <c r="L74" s="1" t="str">
        <f>"(0.9)"</f>
        <v>(0.9)</v>
      </c>
      <c r="M74" s="56" t="str">
        <f>"9.2"</f>
        <v>9.2</v>
      </c>
      <c r="N74" s="49" t="str">
        <f>"(0.7)"</f>
        <v>(0.7)</v>
      </c>
      <c r="O74" s="1" t="str">
        <f>"9.4"</f>
        <v>9.4</v>
      </c>
      <c r="P74" s="1" t="str">
        <f>"(0.7)"</f>
        <v>(0.7)</v>
      </c>
      <c r="Q74" s="56" t="str">
        <f>"11.6"</f>
        <v>11.6</v>
      </c>
      <c r="R74" s="49" t="str">
        <f>"(0.4)"</f>
        <v>(0.4)</v>
      </c>
    </row>
    <row r="75" spans="1:18" x14ac:dyDescent="0.25">
      <c r="A75" s="87"/>
      <c r="B75" s="87"/>
      <c r="C75" s="92"/>
      <c r="D75" t="s">
        <v>8</v>
      </c>
      <c r="E75" s="56" t="str">
        <f>"2.5"</f>
        <v>2.5</v>
      </c>
      <c r="F75" s="49" t="str">
        <f>"(0.4)"</f>
        <v>(0.4)</v>
      </c>
      <c r="G75" s="1" t="str">
        <f>"3.2"</f>
        <v>3.2</v>
      </c>
      <c r="H75" s="1" t="str">
        <f>"(0.6)"</f>
        <v>(0.6)</v>
      </c>
      <c r="I75" s="56" t="str">
        <f>"3.0"</f>
        <v>3.0</v>
      </c>
      <c r="J75" s="49" t="str">
        <f>"(0.5)"</f>
        <v>(0.5)</v>
      </c>
      <c r="K75" s="1" t="str">
        <f>"4.6"</f>
        <v>4.6</v>
      </c>
      <c r="L75" s="1" t="str">
        <f>"(0.7)"</f>
        <v>(0.7)</v>
      </c>
      <c r="M75" s="56" t="str">
        <f>"4.5"</f>
        <v>4.5</v>
      </c>
      <c r="N75" s="49" t="str">
        <f>"(0.7)"</f>
        <v>(0.7)</v>
      </c>
      <c r="O75" s="1" t="str">
        <f>"5.2"</f>
        <v>5.2</v>
      </c>
      <c r="P75" s="1" t="str">
        <f>"(0.8)"</f>
        <v>(0.8)</v>
      </c>
      <c r="Q75" s="56" t="str">
        <f>"3.7"</f>
        <v>3.7</v>
      </c>
      <c r="R75" s="49" t="str">
        <f>"(0.3)"</f>
        <v>(0.3)</v>
      </c>
    </row>
    <row r="76" spans="1:18" x14ac:dyDescent="0.25">
      <c r="A76" s="87"/>
      <c r="B76" s="87"/>
      <c r="C76" s="92"/>
      <c r="D76" t="s">
        <v>9</v>
      </c>
      <c r="E76" s="56" t="str">
        <f>"7.9"</f>
        <v>7.9</v>
      </c>
      <c r="F76" s="49" t="str">
        <f>"(0.9)"</f>
        <v>(0.9)</v>
      </c>
      <c r="G76" s="1" t="str">
        <f>"10.3"</f>
        <v>10.3</v>
      </c>
      <c r="H76" s="1" t="str">
        <f>"(1.2)"</f>
        <v>(1.2)</v>
      </c>
      <c r="I76" s="56" t="str">
        <f>"11.3"</f>
        <v>11.3</v>
      </c>
      <c r="J76" s="49" t="str">
        <f>"(1.2)"</f>
        <v>(1.2)</v>
      </c>
      <c r="K76" s="1" t="str">
        <f>"11.9"</f>
        <v>11.9</v>
      </c>
      <c r="L76" s="1" t="str">
        <f>"(1.1)"</f>
        <v>(1.1)</v>
      </c>
      <c r="M76" s="56" t="str">
        <f>"13.0"</f>
        <v>13.0</v>
      </c>
      <c r="N76" s="49" t="str">
        <f>"(1.0)"</f>
        <v>(1.0)</v>
      </c>
      <c r="O76" s="1" t="str">
        <f>"16.5"</f>
        <v>16.5</v>
      </c>
      <c r="P76" s="1" t="str">
        <f>"(1.1)"</f>
        <v>(1.1)</v>
      </c>
      <c r="Q76" s="56" t="str">
        <f>"15.3"</f>
        <v>15.3</v>
      </c>
      <c r="R76" s="49" t="str">
        <f>"(0.7)"</f>
        <v>(0.7)</v>
      </c>
    </row>
    <row r="77" spans="1:18" x14ac:dyDescent="0.25">
      <c r="A77" s="87"/>
      <c r="B77" s="87"/>
      <c r="C77" s="92"/>
      <c r="D77" t="s">
        <v>10</v>
      </c>
      <c r="E77" s="56" t="str">
        <f>"0.6"</f>
        <v>0.6</v>
      </c>
      <c r="F77" s="49" t="str">
        <f>"(0.2)"</f>
        <v>(0.2)</v>
      </c>
      <c r="G77" s="1" t="str">
        <f>"0.3"</f>
        <v>0.3</v>
      </c>
      <c r="H77" s="1" t="str">
        <f>"(0.1)"</f>
        <v>(0.1)</v>
      </c>
      <c r="I77" s="56" t="str">
        <f>"0.4"</f>
        <v>0.4</v>
      </c>
      <c r="J77" s="49" t="str">
        <f>"(0.2)"</f>
        <v>(0.2)</v>
      </c>
      <c r="K77" s="1" t="str">
        <f>"0.8"</f>
        <v>0.8</v>
      </c>
      <c r="L77" s="1" t="str">
        <f>"(0.3)"</f>
        <v>(0.3)</v>
      </c>
      <c r="M77" s="56" t="str">
        <f>"1.6"</f>
        <v>1.6</v>
      </c>
      <c r="N77" s="49" t="str">
        <f>"(0.4)"</f>
        <v>(0.4)</v>
      </c>
      <c r="O77" s="1" t="str">
        <f>"1.2"</f>
        <v>1.2</v>
      </c>
      <c r="P77" s="1" t="str">
        <f>"(0.3)"</f>
        <v>(0.3)</v>
      </c>
      <c r="Q77" s="56" t="str">
        <f>"1.3"</f>
        <v>1.3</v>
      </c>
      <c r="R77" s="49" t="str">
        <f>"(0.2)"</f>
        <v>(0.2)</v>
      </c>
    </row>
    <row r="78" spans="1:18" s="2" customFormat="1" x14ac:dyDescent="0.25">
      <c r="A78" s="88"/>
      <c r="B78" s="88"/>
      <c r="C78" s="93"/>
      <c r="D78" s="4" t="str">
        <f t="shared" ref="D78" si="9">"Total"</f>
        <v>Total</v>
      </c>
      <c r="E78" s="24" t="s">
        <v>51</v>
      </c>
      <c r="F78" s="16" t="s">
        <v>52</v>
      </c>
      <c r="G78" s="6" t="s">
        <v>51</v>
      </c>
      <c r="H78" s="6" t="s">
        <v>52</v>
      </c>
      <c r="I78" s="24" t="s">
        <v>51</v>
      </c>
      <c r="J78" s="16" t="s">
        <v>52</v>
      </c>
      <c r="K78" s="6" t="s">
        <v>51</v>
      </c>
      <c r="L78" s="6" t="s">
        <v>52</v>
      </c>
      <c r="M78" s="24" t="s">
        <v>51</v>
      </c>
      <c r="N78" s="16" t="s">
        <v>52</v>
      </c>
      <c r="O78" s="6" t="s">
        <v>51</v>
      </c>
      <c r="P78" s="6" t="s">
        <v>52</v>
      </c>
      <c r="Q78" s="24" t="s">
        <v>51</v>
      </c>
      <c r="R78" s="16" t="s">
        <v>52</v>
      </c>
    </row>
    <row r="79" spans="1:18" ht="15" customHeight="1" x14ac:dyDescent="0.25">
      <c r="A79" s="86" t="s">
        <v>134</v>
      </c>
      <c r="B79" s="86" t="s">
        <v>0</v>
      </c>
      <c r="C79" s="89" t="s">
        <v>269</v>
      </c>
      <c r="D79" s="74" t="s">
        <v>6</v>
      </c>
      <c r="E79" s="59" t="str">
        <f>"46.5"</f>
        <v>46.5</v>
      </c>
      <c r="F79" s="60" t="str">
        <f>"(4.2)"</f>
        <v>(4.2)</v>
      </c>
      <c r="G79" s="61" t="str">
        <f>"52.0"</f>
        <v>52.0</v>
      </c>
      <c r="H79" s="61" t="str">
        <f>"(3.3)"</f>
        <v>(3.3)</v>
      </c>
      <c r="I79" s="59" t="str">
        <f>"45.9"</f>
        <v>45.9</v>
      </c>
      <c r="J79" s="60" t="str">
        <f>"(3.0)"</f>
        <v>(3.0)</v>
      </c>
      <c r="K79" s="61" t="str">
        <f>"43.9"</f>
        <v>43.9</v>
      </c>
      <c r="L79" s="61" t="str">
        <f>"(4.7)"</f>
        <v>(4.7)</v>
      </c>
      <c r="M79" s="59" t="str">
        <f>"47.9"</f>
        <v>47.9</v>
      </c>
      <c r="N79" s="60" t="str">
        <f>"(3.7)"</f>
        <v>(3.7)</v>
      </c>
      <c r="O79" s="61" t="str">
        <f>"44.3"</f>
        <v>44.3</v>
      </c>
      <c r="P79" s="61" t="str">
        <f>"(3.6)"</f>
        <v>(3.6)</v>
      </c>
      <c r="Q79" s="59" t="str">
        <f>"41.0"</f>
        <v>41.0</v>
      </c>
      <c r="R79" s="60" t="str">
        <f>"(2.0)"</f>
        <v>(2.0)</v>
      </c>
    </row>
    <row r="80" spans="1:18" x14ac:dyDescent="0.25">
      <c r="A80" s="87"/>
      <c r="B80" s="87"/>
      <c r="C80" s="90"/>
      <c r="D80" s="75" t="s">
        <v>7</v>
      </c>
      <c r="E80" s="63" t="str">
        <f>"38.7"</f>
        <v>38.7</v>
      </c>
      <c r="F80" s="64" t="str">
        <f>"(4.2)"</f>
        <v>(4.2)</v>
      </c>
      <c r="G80" s="65" t="str">
        <f>"38.5"</f>
        <v>38.5</v>
      </c>
      <c r="H80" s="65" t="str">
        <f>"(3.2)"</f>
        <v>(3.2)</v>
      </c>
      <c r="I80" s="63" t="str">
        <f>"39.5"</f>
        <v>39.5</v>
      </c>
      <c r="J80" s="64" t="str">
        <f>"(3.3)"</f>
        <v>(3.3)</v>
      </c>
      <c r="K80" s="65" t="str">
        <f>"40.3"</f>
        <v>40.3</v>
      </c>
      <c r="L80" s="65" t="str">
        <f>"(4.2)"</f>
        <v>(4.2)</v>
      </c>
      <c r="M80" s="63" t="str">
        <f>"37.4"</f>
        <v>37.4</v>
      </c>
      <c r="N80" s="64" t="str">
        <f>"(3.6)"</f>
        <v>(3.6)</v>
      </c>
      <c r="O80" s="65" t="str">
        <f>"40.7"</f>
        <v>40.7</v>
      </c>
      <c r="P80" s="65" t="str">
        <f>"(3.7)"</f>
        <v>(3.7)</v>
      </c>
      <c r="Q80" s="63" t="str">
        <f>"41.1"</f>
        <v>41.1</v>
      </c>
      <c r="R80" s="64" t="str">
        <f>"(1.9)"</f>
        <v>(1.9)</v>
      </c>
    </row>
    <row r="81" spans="1:18" x14ac:dyDescent="0.25">
      <c r="A81" s="87"/>
      <c r="B81" s="87"/>
      <c r="C81" s="90"/>
      <c r="D81" s="75" t="s">
        <v>8</v>
      </c>
      <c r="E81" s="63" t="str">
        <f>"10.1"</f>
        <v>10.1</v>
      </c>
      <c r="F81" s="64" t="str">
        <f>"(4.3)"</f>
        <v>(4.3)</v>
      </c>
      <c r="G81" s="65" t="str">
        <f>"6.3"</f>
        <v>6.3</v>
      </c>
      <c r="H81" s="65" t="str">
        <f>"(1.5)"</f>
        <v>(1.5)</v>
      </c>
      <c r="I81" s="63" t="str">
        <f>"8.4"</f>
        <v>8.4</v>
      </c>
      <c r="J81" s="64" t="str">
        <f>"(1.6)"</f>
        <v>(1.6)</v>
      </c>
      <c r="K81" s="65" t="str">
        <f>"8.9"</f>
        <v>8.9</v>
      </c>
      <c r="L81" s="65" t="str">
        <f>"(1.7)"</f>
        <v>(1.7)</v>
      </c>
      <c r="M81" s="63" t="str">
        <f>"9.0"</f>
        <v>9.0</v>
      </c>
      <c r="N81" s="64" t="str">
        <f>"(2.4)"</f>
        <v>(2.4)</v>
      </c>
      <c r="O81" s="65" t="str">
        <f>"10.0"</f>
        <v>10.0</v>
      </c>
      <c r="P81" s="65" t="str">
        <f>"(2.4)"</f>
        <v>(2.4)</v>
      </c>
      <c r="Q81" s="63" t="str">
        <f>"11.5"</f>
        <v>11.5</v>
      </c>
      <c r="R81" s="64" t="str">
        <f>"(1.2)"</f>
        <v>(1.2)</v>
      </c>
    </row>
    <row r="82" spans="1:18" x14ac:dyDescent="0.25">
      <c r="A82" s="87"/>
      <c r="B82" s="87"/>
      <c r="C82" s="90"/>
      <c r="D82" s="75" t="s">
        <v>9</v>
      </c>
      <c r="E82" s="63" t="str">
        <f>"4.6"</f>
        <v>4.6</v>
      </c>
      <c r="F82" s="64" t="str">
        <f>"(1.6)"</f>
        <v>(1.6)</v>
      </c>
      <c r="G82" s="65" t="str">
        <f>"3.2"</f>
        <v>3.2</v>
      </c>
      <c r="H82" s="65" t="str">
        <f>"(1.4)"</f>
        <v>(1.4)</v>
      </c>
      <c r="I82" s="63" t="str">
        <f>"5.6"</f>
        <v>5.6</v>
      </c>
      <c r="J82" s="64" t="str">
        <f>"(2.3)"</f>
        <v>(2.3)</v>
      </c>
      <c r="K82" s="65" t="str">
        <f>"6.0"</f>
        <v>6.0</v>
      </c>
      <c r="L82" s="65" t="str">
        <f>"(1.8)"</f>
        <v>(1.8)</v>
      </c>
      <c r="M82" s="63" t="str">
        <f>"4.7"</f>
        <v>4.7</v>
      </c>
      <c r="N82" s="64" t="str">
        <f>"(1.2)"</f>
        <v>(1.2)</v>
      </c>
      <c r="O82" s="65" t="str">
        <f>"3.8"</f>
        <v>3.8</v>
      </c>
      <c r="P82" s="65" t="str">
        <f>"(1.4)"</f>
        <v>(1.4)</v>
      </c>
      <c r="Q82" s="63" t="str">
        <f>"4.9"</f>
        <v>4.9</v>
      </c>
      <c r="R82" s="64" t="str">
        <f>"(0.8)"</f>
        <v>(0.8)</v>
      </c>
    </row>
    <row r="83" spans="1:18" x14ac:dyDescent="0.25">
      <c r="A83" s="87"/>
      <c r="B83" s="87"/>
      <c r="C83" s="90"/>
      <c r="D83" s="75" t="s">
        <v>10</v>
      </c>
      <c r="E83" s="63" t="s">
        <v>418</v>
      </c>
      <c r="F83" s="64" t="s">
        <v>418</v>
      </c>
      <c r="G83" s="65" t="s">
        <v>418</v>
      </c>
      <c r="H83" s="65" t="s">
        <v>418</v>
      </c>
      <c r="I83" s="63" t="s">
        <v>418</v>
      </c>
      <c r="J83" s="64" t="s">
        <v>418</v>
      </c>
      <c r="K83" s="65" t="s">
        <v>418</v>
      </c>
      <c r="L83" s="65" t="s">
        <v>418</v>
      </c>
      <c r="M83" s="63" t="s">
        <v>418</v>
      </c>
      <c r="N83" s="64" t="s">
        <v>418</v>
      </c>
      <c r="O83" s="65" t="str">
        <f>"1.2"</f>
        <v>1.2</v>
      </c>
      <c r="P83" s="65" t="str">
        <f>"(0.8)"</f>
        <v>(0.8)</v>
      </c>
      <c r="Q83" s="63" t="str">
        <f>"1.5"</f>
        <v>1.5</v>
      </c>
      <c r="R83" s="64" t="str">
        <f>"(0.5)"</f>
        <v>(0.5)</v>
      </c>
    </row>
    <row r="84" spans="1:18" x14ac:dyDescent="0.25">
      <c r="A84" s="87"/>
      <c r="B84" s="87"/>
      <c r="C84" s="91"/>
      <c r="D84" s="76" t="str">
        <f>"Total"</f>
        <v>Total</v>
      </c>
      <c r="E84" s="71" t="s">
        <v>51</v>
      </c>
      <c r="F84" s="72" t="s">
        <v>52</v>
      </c>
      <c r="G84" s="73" t="s">
        <v>51</v>
      </c>
      <c r="H84" s="73" t="s">
        <v>52</v>
      </c>
      <c r="I84" s="71" t="s">
        <v>51</v>
      </c>
      <c r="J84" s="72" t="s">
        <v>52</v>
      </c>
      <c r="K84" s="73" t="s">
        <v>51</v>
      </c>
      <c r="L84" s="73" t="s">
        <v>52</v>
      </c>
      <c r="M84" s="71" t="s">
        <v>51</v>
      </c>
      <c r="N84" s="72" t="s">
        <v>52</v>
      </c>
      <c r="O84" s="73" t="s">
        <v>51</v>
      </c>
      <c r="P84" s="73" t="s">
        <v>52</v>
      </c>
      <c r="Q84" s="71" t="s">
        <v>51</v>
      </c>
      <c r="R84" s="72" t="s">
        <v>52</v>
      </c>
    </row>
    <row r="85" spans="1:18" x14ac:dyDescent="0.25">
      <c r="A85" s="87"/>
      <c r="B85" s="87"/>
      <c r="C85" s="92" t="s">
        <v>270</v>
      </c>
      <c r="D85" t="s">
        <v>6</v>
      </c>
      <c r="E85" s="56" t="str">
        <f>"69.0"</f>
        <v>69.0</v>
      </c>
      <c r="F85" s="49" t="str">
        <f>"(4.3)"</f>
        <v>(4.3)</v>
      </c>
      <c r="G85" s="1" t="str">
        <f>"57.3"</f>
        <v>57.3</v>
      </c>
      <c r="H85" s="1" t="str">
        <f>"(5.9)"</f>
        <v>(5.9)</v>
      </c>
      <c r="I85" s="56" t="str">
        <f>"67.5"</f>
        <v>67.5</v>
      </c>
      <c r="J85" s="49" t="str">
        <f>"(4.3)"</f>
        <v>(4.3)</v>
      </c>
      <c r="K85" s="1" t="str">
        <f>"62.6"</f>
        <v>62.6</v>
      </c>
      <c r="L85" s="1" t="str">
        <f>"(4.1)"</f>
        <v>(4.1)</v>
      </c>
      <c r="M85" s="56" t="str">
        <f>"53.1"</f>
        <v>53.1</v>
      </c>
      <c r="N85" s="49" t="str">
        <f>"(5.8)"</f>
        <v>(5.8)</v>
      </c>
      <c r="O85" s="1" t="str">
        <f>"59.8"</f>
        <v>59.8</v>
      </c>
      <c r="P85" s="1" t="str">
        <f>"(4.0)"</f>
        <v>(4.0)</v>
      </c>
      <c r="Q85" s="56" t="str">
        <f>"47.0"</f>
        <v>47.0</v>
      </c>
      <c r="R85" s="49" t="str">
        <f>"(2.4)"</f>
        <v>(2.4)</v>
      </c>
    </row>
    <row r="86" spans="1:18" x14ac:dyDescent="0.25">
      <c r="A86" s="87"/>
      <c r="B86" s="87"/>
      <c r="C86" s="92"/>
      <c r="D86" t="s">
        <v>7</v>
      </c>
      <c r="E86" s="56" t="str">
        <f>"21.8"</f>
        <v>21.8</v>
      </c>
      <c r="F86" s="49" t="str">
        <f>"(3.7)"</f>
        <v>(3.7)</v>
      </c>
      <c r="G86" s="1" t="str">
        <f>"29.9"</f>
        <v>29.9</v>
      </c>
      <c r="H86" s="1" t="str">
        <f>"(5.2)"</f>
        <v>(5.2)</v>
      </c>
      <c r="I86" s="56" t="str">
        <f>"16.1"</f>
        <v>16.1</v>
      </c>
      <c r="J86" s="49" t="str">
        <f>"(3.5)"</f>
        <v>(3.5)</v>
      </c>
      <c r="K86" s="1" t="str">
        <f>"24.0"</f>
        <v>24.0</v>
      </c>
      <c r="L86" s="1" t="str">
        <f>"(3.3)"</f>
        <v>(3.3)</v>
      </c>
      <c r="M86" s="56" t="str">
        <f>"26.3"</f>
        <v>26.3</v>
      </c>
      <c r="N86" s="49" t="str">
        <f>"(5.0)"</f>
        <v>(5.0)</v>
      </c>
      <c r="O86" s="1" t="str">
        <f>"20.9"</f>
        <v>20.9</v>
      </c>
      <c r="P86" s="1" t="str">
        <f>"(3.8)"</f>
        <v>(3.8)</v>
      </c>
      <c r="Q86" s="56" t="str">
        <f>"22.2"</f>
        <v>22.2</v>
      </c>
      <c r="R86" s="49" t="str">
        <f>"(1.8)"</f>
        <v>(1.8)</v>
      </c>
    </row>
    <row r="87" spans="1:18" x14ac:dyDescent="0.25">
      <c r="A87" s="87"/>
      <c r="B87" s="87"/>
      <c r="C87" s="92"/>
      <c r="D87" t="s">
        <v>8</v>
      </c>
      <c r="E87" s="56" t="str">
        <f>"4.5"</f>
        <v>4.5</v>
      </c>
      <c r="F87" s="49" t="str">
        <f>"(2.4)"</f>
        <v>(2.4)</v>
      </c>
      <c r="G87" s="1" t="str">
        <f>"8.0"</f>
        <v>8.0</v>
      </c>
      <c r="H87" s="1" t="str">
        <f>"(3.1)"</f>
        <v>(3.1)</v>
      </c>
      <c r="I87" s="56" t="str">
        <f>"11.2"</f>
        <v>11.2</v>
      </c>
      <c r="J87" s="49" t="str">
        <f>"(4.0)"</f>
        <v>(4.0)</v>
      </c>
      <c r="K87" s="1" t="str">
        <f>"8.2"</f>
        <v>8.2</v>
      </c>
      <c r="L87" s="1" t="str">
        <f>"(2.4)"</f>
        <v>(2.4)</v>
      </c>
      <c r="M87" s="56" t="str">
        <f>"11.3"</f>
        <v>11.3</v>
      </c>
      <c r="N87" s="49" t="str">
        <f>"(4.5)"</f>
        <v>(4.5)</v>
      </c>
      <c r="O87" s="1" t="str">
        <f>"4.3"</f>
        <v>4.3</v>
      </c>
      <c r="P87" s="1" t="str">
        <f>"(1.5)"</f>
        <v>(1.5)</v>
      </c>
      <c r="Q87" s="56" t="str">
        <f>"15.2"</f>
        <v>15.2</v>
      </c>
      <c r="R87" s="49" t="str">
        <f>"(1.7)"</f>
        <v>(1.7)</v>
      </c>
    </row>
    <row r="88" spans="1:18" x14ac:dyDescent="0.25">
      <c r="A88" s="87"/>
      <c r="B88" s="87"/>
      <c r="C88" s="92"/>
      <c r="D88" t="s">
        <v>9</v>
      </c>
      <c r="E88" s="56" t="str">
        <f>"4.7"</f>
        <v>4.7</v>
      </c>
      <c r="F88" s="49" t="str">
        <f>"(2.4)"</f>
        <v>(2.4)</v>
      </c>
      <c r="G88" s="1" t="str">
        <f>"4.8"</f>
        <v>4.8</v>
      </c>
      <c r="H88" s="1" t="str">
        <f>"(2.0)"</f>
        <v>(2.0)</v>
      </c>
      <c r="I88" s="56" t="str">
        <f>"5.2"</f>
        <v>5.2</v>
      </c>
      <c r="J88" s="49" t="str">
        <f>"(3.1)"</f>
        <v>(3.1)</v>
      </c>
      <c r="K88" s="1" t="str">
        <f>"4.9"</f>
        <v>4.9</v>
      </c>
      <c r="L88" s="1" t="str">
        <f>"(2.1)"</f>
        <v>(2.1)</v>
      </c>
      <c r="M88" s="56" t="str">
        <f>"8.7"</f>
        <v>8.7</v>
      </c>
      <c r="N88" s="49" t="str">
        <f>"(2.1)"</f>
        <v>(2.1)</v>
      </c>
      <c r="O88" s="1" t="str">
        <f>"13.9"</f>
        <v>13.9</v>
      </c>
      <c r="P88" s="1" t="str">
        <f>"(2.9)"</f>
        <v>(2.9)</v>
      </c>
      <c r="Q88" s="56" t="str">
        <f>"14.4"</f>
        <v>14.4</v>
      </c>
      <c r="R88" s="49" t="str">
        <f>"(1.5)"</f>
        <v>(1.5)</v>
      </c>
    </row>
    <row r="89" spans="1:18" x14ac:dyDescent="0.25">
      <c r="A89" s="87"/>
      <c r="B89" s="87"/>
      <c r="C89" s="92"/>
      <c r="D89" t="s">
        <v>10</v>
      </c>
      <c r="E89" s="56" t="s">
        <v>418</v>
      </c>
      <c r="F89" s="49" t="s">
        <v>418</v>
      </c>
      <c r="G89" s="1" t="s">
        <v>418</v>
      </c>
      <c r="H89" s="1" t="s">
        <v>418</v>
      </c>
      <c r="I89" s="56" t="s">
        <v>418</v>
      </c>
      <c r="J89" s="49" t="s">
        <v>418</v>
      </c>
      <c r="K89" s="1" t="s">
        <v>418</v>
      </c>
      <c r="L89" s="1" t="s">
        <v>418</v>
      </c>
      <c r="M89" s="56" t="s">
        <v>418</v>
      </c>
      <c r="N89" s="49" t="s">
        <v>418</v>
      </c>
      <c r="O89" s="1" t="str">
        <f>"1.1"</f>
        <v>1.1</v>
      </c>
      <c r="P89" s="1" t="str">
        <f>"(0.8)"</f>
        <v>(0.8)</v>
      </c>
      <c r="Q89" s="56" t="str">
        <f>"1.2"</f>
        <v>1.2</v>
      </c>
      <c r="R89" s="49" t="str">
        <f>"(0.3)"</f>
        <v>(0.3)</v>
      </c>
    </row>
    <row r="90" spans="1:18" x14ac:dyDescent="0.25">
      <c r="A90" s="87"/>
      <c r="B90" s="88"/>
      <c r="C90" s="93"/>
      <c r="D90" s="4" t="str">
        <f t="shared" ref="D90" si="10">"Total"</f>
        <v>Total</v>
      </c>
      <c r="E90" s="24" t="s">
        <v>51</v>
      </c>
      <c r="F90" s="16" t="s">
        <v>52</v>
      </c>
      <c r="G90" s="6" t="s">
        <v>51</v>
      </c>
      <c r="H90" s="6" t="s">
        <v>52</v>
      </c>
      <c r="I90" s="24" t="s">
        <v>51</v>
      </c>
      <c r="J90" s="16" t="s">
        <v>52</v>
      </c>
      <c r="K90" s="6" t="s">
        <v>51</v>
      </c>
      <c r="L90" s="6" t="s">
        <v>52</v>
      </c>
      <c r="M90" s="24" t="s">
        <v>51</v>
      </c>
      <c r="N90" s="16" t="s">
        <v>52</v>
      </c>
      <c r="O90" s="6" t="s">
        <v>51</v>
      </c>
      <c r="P90" s="6" t="s">
        <v>52</v>
      </c>
      <c r="Q90" s="24" t="s">
        <v>51</v>
      </c>
      <c r="R90" s="16" t="s">
        <v>52</v>
      </c>
    </row>
    <row r="91" spans="1:18" x14ac:dyDescent="0.25">
      <c r="A91" s="87"/>
      <c r="B91" s="86" t="s">
        <v>1</v>
      </c>
      <c r="C91" s="89" t="s">
        <v>269</v>
      </c>
      <c r="D91" s="74" t="s">
        <v>6</v>
      </c>
      <c r="E91" s="59" t="str">
        <f>"45.4"</f>
        <v>45.4</v>
      </c>
      <c r="F91" s="60" t="str">
        <f>"(3.9)"</f>
        <v>(3.9)</v>
      </c>
      <c r="G91" s="61" t="str">
        <f>"51.6"</f>
        <v>51.6</v>
      </c>
      <c r="H91" s="61" t="str">
        <f>"(3.1)"</f>
        <v>(3.1)</v>
      </c>
      <c r="I91" s="59" t="str">
        <f>"46.6"</f>
        <v>46.6</v>
      </c>
      <c r="J91" s="60" t="str">
        <f>"(3.0)"</f>
        <v>(3.0)</v>
      </c>
      <c r="K91" s="61" t="str">
        <f>"44.6"</f>
        <v>44.6</v>
      </c>
      <c r="L91" s="61" t="str">
        <f>"(4.5)"</f>
        <v>(4.5)</v>
      </c>
      <c r="M91" s="59" t="str">
        <f>"47.9"</f>
        <v>47.9</v>
      </c>
      <c r="N91" s="60" t="str">
        <f>"(3.6)"</f>
        <v>(3.6)</v>
      </c>
      <c r="O91" s="61" t="str">
        <f>"43.7"</f>
        <v>43.7</v>
      </c>
      <c r="P91" s="61" t="str">
        <f>"(3.3)"</f>
        <v>(3.3)</v>
      </c>
      <c r="Q91" s="59" t="str">
        <f>"40.5"</f>
        <v>40.5</v>
      </c>
      <c r="R91" s="60" t="str">
        <f>"(2.0)"</f>
        <v>(2.0)</v>
      </c>
    </row>
    <row r="92" spans="1:18" x14ac:dyDescent="0.25">
      <c r="A92" s="87"/>
      <c r="B92" s="87"/>
      <c r="C92" s="90"/>
      <c r="D92" s="75" t="s">
        <v>7</v>
      </c>
      <c r="E92" s="63" t="str">
        <f>"40.3"</f>
        <v>40.3</v>
      </c>
      <c r="F92" s="64" t="str">
        <f>"(4.0)"</f>
        <v>(4.0)</v>
      </c>
      <c r="G92" s="65" t="str">
        <f>"39.4"</f>
        <v>39.4</v>
      </c>
      <c r="H92" s="65" t="str">
        <f>"(3.2)"</f>
        <v>(3.2)</v>
      </c>
      <c r="I92" s="63" t="str">
        <f>"38.9"</f>
        <v>38.9</v>
      </c>
      <c r="J92" s="64" t="str">
        <f>"(3.3)"</f>
        <v>(3.3)</v>
      </c>
      <c r="K92" s="65" t="str">
        <f>"40.0"</f>
        <v>40.0</v>
      </c>
      <c r="L92" s="65" t="str">
        <f>"(4.0)"</f>
        <v>(4.0)</v>
      </c>
      <c r="M92" s="63" t="str">
        <f>"38.1"</f>
        <v>38.1</v>
      </c>
      <c r="N92" s="64" t="str">
        <f>"(3.5)"</f>
        <v>(3.5)</v>
      </c>
      <c r="O92" s="65" t="str">
        <f>"39.9"</f>
        <v>39.9</v>
      </c>
      <c r="P92" s="65" t="str">
        <f>"(3.5)"</f>
        <v>(3.5)</v>
      </c>
      <c r="Q92" s="63" t="str">
        <f>"40.8"</f>
        <v>40.8</v>
      </c>
      <c r="R92" s="64" t="str">
        <f>"(2.0)"</f>
        <v>(2.0)</v>
      </c>
    </row>
    <row r="93" spans="1:18" x14ac:dyDescent="0.25">
      <c r="A93" s="87"/>
      <c r="B93" s="87"/>
      <c r="C93" s="90"/>
      <c r="D93" s="75" t="s">
        <v>8</v>
      </c>
      <c r="E93" s="63" t="str">
        <f>"9.5"</f>
        <v>9.5</v>
      </c>
      <c r="F93" s="64" t="str">
        <f>"(4.1)"</f>
        <v>(4.1)</v>
      </c>
      <c r="G93" s="65" t="str">
        <f>"6.0"</f>
        <v>6.0</v>
      </c>
      <c r="H93" s="65" t="str">
        <f>"(1.4)"</f>
        <v>(1.4)</v>
      </c>
      <c r="I93" s="63" t="str">
        <f>"8.3"</f>
        <v>8.3</v>
      </c>
      <c r="J93" s="64" t="str">
        <f>"(1.5)"</f>
        <v>(1.5)</v>
      </c>
      <c r="K93" s="65" t="str">
        <f>"8.4"</f>
        <v>8.4</v>
      </c>
      <c r="L93" s="65" t="str">
        <f>"(1.5)"</f>
        <v>(1.5)</v>
      </c>
      <c r="M93" s="63" t="str">
        <f>"8.6"</f>
        <v>8.6</v>
      </c>
      <c r="N93" s="64" t="str">
        <f>"(2.3)"</f>
        <v>(2.3)</v>
      </c>
      <c r="O93" s="65" t="str">
        <f>"10.4"</f>
        <v>10.4</v>
      </c>
      <c r="P93" s="65" t="str">
        <f>"(2.3)"</f>
        <v>(2.3)</v>
      </c>
      <c r="Q93" s="63" t="str">
        <f>"12.2"</f>
        <v>12.2</v>
      </c>
      <c r="R93" s="64" t="str">
        <f>"(1.2)"</f>
        <v>(1.2)</v>
      </c>
    </row>
    <row r="94" spans="1:18" x14ac:dyDescent="0.25">
      <c r="A94" s="87"/>
      <c r="B94" s="87"/>
      <c r="C94" s="90"/>
      <c r="D94" s="75" t="s">
        <v>9</v>
      </c>
      <c r="E94" s="63" t="str">
        <f>"4.8"</f>
        <v>4.8</v>
      </c>
      <c r="F94" s="64" t="str">
        <f>"(1.5)"</f>
        <v>(1.5)</v>
      </c>
      <c r="G94" s="65" t="str">
        <f>"3.0"</f>
        <v>3.0</v>
      </c>
      <c r="H94" s="65" t="str">
        <f>"(1.3)"</f>
        <v>(1.3)</v>
      </c>
      <c r="I94" s="63" t="str">
        <f>"5.7"</f>
        <v>5.7</v>
      </c>
      <c r="J94" s="64" t="str">
        <f>"(2.3)"</f>
        <v>(2.3)</v>
      </c>
      <c r="K94" s="65" t="str">
        <f>"6.2"</f>
        <v>6.2</v>
      </c>
      <c r="L94" s="65" t="str">
        <f>"(1.8)"</f>
        <v>(1.8)</v>
      </c>
      <c r="M94" s="63" t="str">
        <f>"4.5"</f>
        <v>4.5</v>
      </c>
      <c r="N94" s="64" t="str">
        <f>"(1.1)"</f>
        <v>(1.1)</v>
      </c>
      <c r="O94" s="65" t="str">
        <f>"4.9"</f>
        <v>4.9</v>
      </c>
      <c r="P94" s="65" t="str">
        <f>"(1.6)"</f>
        <v>(1.6)</v>
      </c>
      <c r="Q94" s="63" t="str">
        <f>"5.0"</f>
        <v>5.0</v>
      </c>
      <c r="R94" s="64" t="str">
        <f>"(0.8)"</f>
        <v>(0.8)</v>
      </c>
    </row>
    <row r="95" spans="1:18" x14ac:dyDescent="0.25">
      <c r="A95" s="87"/>
      <c r="B95" s="87"/>
      <c r="C95" s="90"/>
      <c r="D95" s="75" t="s">
        <v>10</v>
      </c>
      <c r="E95" s="63" t="s">
        <v>418</v>
      </c>
      <c r="F95" s="64" t="s">
        <v>418</v>
      </c>
      <c r="G95" s="65" t="s">
        <v>418</v>
      </c>
      <c r="H95" s="65" t="s">
        <v>418</v>
      </c>
      <c r="I95" s="63" t="s">
        <v>418</v>
      </c>
      <c r="J95" s="64" t="s">
        <v>418</v>
      </c>
      <c r="K95" s="65" t="s">
        <v>418</v>
      </c>
      <c r="L95" s="65" t="s">
        <v>418</v>
      </c>
      <c r="M95" s="63" t="s">
        <v>418</v>
      </c>
      <c r="N95" s="64" t="s">
        <v>418</v>
      </c>
      <c r="O95" s="65" t="str">
        <f>"1.1"</f>
        <v>1.1</v>
      </c>
      <c r="P95" s="65" t="str">
        <f>"(0.7)"</f>
        <v>(0.7)</v>
      </c>
      <c r="Q95" s="63" t="str">
        <f>"1.4"</f>
        <v>1.4</v>
      </c>
      <c r="R95" s="64" t="str">
        <f>"(0.4)"</f>
        <v>(0.4)</v>
      </c>
    </row>
    <row r="96" spans="1:18" x14ac:dyDescent="0.25">
      <c r="A96" s="87"/>
      <c r="B96" s="87"/>
      <c r="C96" s="91"/>
      <c r="D96" s="76" t="str">
        <f t="shared" ref="D96" si="11">"Total"</f>
        <v>Total</v>
      </c>
      <c r="E96" s="71" t="s">
        <v>51</v>
      </c>
      <c r="F96" s="72" t="s">
        <v>52</v>
      </c>
      <c r="G96" s="73" t="s">
        <v>51</v>
      </c>
      <c r="H96" s="73" t="s">
        <v>52</v>
      </c>
      <c r="I96" s="71" t="s">
        <v>51</v>
      </c>
      <c r="J96" s="72" t="s">
        <v>52</v>
      </c>
      <c r="K96" s="73" t="s">
        <v>51</v>
      </c>
      <c r="L96" s="73" t="s">
        <v>52</v>
      </c>
      <c r="M96" s="71" t="s">
        <v>51</v>
      </c>
      <c r="N96" s="72" t="s">
        <v>52</v>
      </c>
      <c r="O96" s="73" t="s">
        <v>51</v>
      </c>
      <c r="P96" s="73" t="s">
        <v>52</v>
      </c>
      <c r="Q96" s="71" t="s">
        <v>51</v>
      </c>
      <c r="R96" s="72" t="s">
        <v>52</v>
      </c>
    </row>
    <row r="97" spans="1:18" x14ac:dyDescent="0.25">
      <c r="A97" s="87"/>
      <c r="B97" s="87"/>
      <c r="C97" s="92" t="s">
        <v>270</v>
      </c>
      <c r="D97" t="s">
        <v>6</v>
      </c>
      <c r="E97" s="56" t="str">
        <f>"74.6"</f>
        <v>74.6</v>
      </c>
      <c r="F97" s="49" t="str">
        <f>"(4.3)"</f>
        <v>(4.3)</v>
      </c>
      <c r="G97" s="1" t="str">
        <f>"59.0"</f>
        <v>59.0</v>
      </c>
      <c r="H97" s="1" t="str">
        <f>"(5.5)"</f>
        <v>(5.5)</v>
      </c>
      <c r="I97" s="56" t="str">
        <f>"66.8"</f>
        <v>66.8</v>
      </c>
      <c r="J97" s="49" t="str">
        <f>"(4.6)"</f>
        <v>(4.6)</v>
      </c>
      <c r="K97" s="1" t="str">
        <f>"64.0"</f>
        <v>64.0</v>
      </c>
      <c r="L97" s="1" t="str">
        <f>"(4.2)"</f>
        <v>(4.2)</v>
      </c>
      <c r="M97" s="56" t="str">
        <f>"53.4"</f>
        <v>53.4</v>
      </c>
      <c r="N97" s="49" t="str">
        <f>"(6.1)"</f>
        <v>(6.1)</v>
      </c>
      <c r="O97" s="1" t="str">
        <f>"63.0"</f>
        <v>63.0</v>
      </c>
      <c r="P97" s="1" t="str">
        <f>"(4.3)"</f>
        <v>(4.3)</v>
      </c>
      <c r="Q97" s="56" t="str">
        <f>"47.7"</f>
        <v>47.7</v>
      </c>
      <c r="R97" s="49" t="str">
        <f>"(2.5)"</f>
        <v>(2.5)</v>
      </c>
    </row>
    <row r="98" spans="1:18" x14ac:dyDescent="0.25">
      <c r="A98" s="87"/>
      <c r="B98" s="87"/>
      <c r="C98" s="92"/>
      <c r="D98" t="s">
        <v>7</v>
      </c>
      <c r="E98" s="56" t="str">
        <f>"15.9"</f>
        <v>15.9</v>
      </c>
      <c r="F98" s="49" t="str">
        <f>"(3.3)"</f>
        <v>(3.3)</v>
      </c>
      <c r="G98" s="1" t="str">
        <f>"26.8"</f>
        <v>26.8</v>
      </c>
      <c r="H98" s="1" t="str">
        <f>"(4.5)"</f>
        <v>(4.5)</v>
      </c>
      <c r="I98" s="56" t="str">
        <f>"16.4"</f>
        <v>16.4</v>
      </c>
      <c r="J98" s="49" t="str">
        <f>"(3.7)"</f>
        <v>(3.7)</v>
      </c>
      <c r="K98" s="1" t="str">
        <f>"22.3"</f>
        <v>22.3</v>
      </c>
      <c r="L98" s="1" t="str">
        <f>"(3.5)"</f>
        <v>(3.5)</v>
      </c>
      <c r="M98" s="56" t="str">
        <f>"24.7"</f>
        <v>24.7</v>
      </c>
      <c r="N98" s="49" t="str">
        <f>"(5.0)"</f>
        <v>(5.0)</v>
      </c>
      <c r="O98" s="1" t="str">
        <f>"19.4"</f>
        <v>19.4</v>
      </c>
      <c r="P98" s="1" t="str">
        <f>"(4.0)"</f>
        <v>(4.0)</v>
      </c>
      <c r="Q98" s="56" t="str">
        <f>"21.2"</f>
        <v>21.2</v>
      </c>
      <c r="R98" s="49" t="str">
        <f>"(1.8)"</f>
        <v>(1.8)</v>
      </c>
    </row>
    <row r="99" spans="1:18" x14ac:dyDescent="0.25">
      <c r="A99" s="87"/>
      <c r="B99" s="87"/>
      <c r="C99" s="92"/>
      <c r="D99" t="s">
        <v>8</v>
      </c>
      <c r="E99" s="56" t="str">
        <f>"5.1"</f>
        <v>5.1</v>
      </c>
      <c r="F99" s="49" t="str">
        <f>"(2.7)"</f>
        <v>(2.7)</v>
      </c>
      <c r="G99" s="1" t="str">
        <f>"8.9"</f>
        <v>8.9</v>
      </c>
      <c r="H99" s="1" t="str">
        <f>"(3.5)"</f>
        <v>(3.5)</v>
      </c>
      <c r="I99" s="56" t="str">
        <f>"11.8"</f>
        <v>11.8</v>
      </c>
      <c r="J99" s="49" t="str">
        <f>"(4.2)"</f>
        <v>(4.2)</v>
      </c>
      <c r="K99" s="1" t="str">
        <f>"8.8"</f>
        <v>8.8</v>
      </c>
      <c r="L99" s="1" t="str">
        <f>"(2.7)"</f>
        <v>(2.7)</v>
      </c>
      <c r="M99" s="56" t="str">
        <f>"11.9"</f>
        <v>11.9</v>
      </c>
      <c r="N99" s="49" t="str">
        <f>"(4.7)"</f>
        <v>(4.7)</v>
      </c>
      <c r="O99" s="1" t="str">
        <f>"2.8"</f>
        <v>2.8</v>
      </c>
      <c r="P99" s="1" t="str">
        <f>"(1.3)"</f>
        <v>(1.3)</v>
      </c>
      <c r="Q99" s="56" t="str">
        <f>"15.0"</f>
        <v>15.0</v>
      </c>
      <c r="R99" s="49" t="str">
        <f>"(1.8)"</f>
        <v>(1.8)</v>
      </c>
    </row>
    <row r="100" spans="1:18" x14ac:dyDescent="0.25">
      <c r="A100" s="87"/>
      <c r="B100" s="87"/>
      <c r="C100" s="92"/>
      <c r="D100" t="s">
        <v>9</v>
      </c>
      <c r="E100" s="56" t="str">
        <f>"4.4"</f>
        <v>4.4</v>
      </c>
      <c r="F100" s="49" t="str">
        <f>"(2.5)"</f>
        <v>(2.5)</v>
      </c>
      <c r="G100" s="1" t="str">
        <f>"5.3"</f>
        <v>5.3</v>
      </c>
      <c r="H100" s="1" t="str">
        <f>"(2.2)"</f>
        <v>(2.2)</v>
      </c>
      <c r="I100" s="56" t="str">
        <f>"5.1"</f>
        <v>5.1</v>
      </c>
      <c r="J100" s="49" t="str">
        <f>"(3.2)"</f>
        <v>(3.2)</v>
      </c>
      <c r="K100" s="1" t="str">
        <f>"4.5"</f>
        <v>4.5</v>
      </c>
      <c r="L100" s="1" t="str">
        <f>"(2.2)"</f>
        <v>(2.2)</v>
      </c>
      <c r="M100" s="56" t="str">
        <f>"9.2"</f>
        <v>9.2</v>
      </c>
      <c r="N100" s="49" t="str">
        <f>"(2.2)"</f>
        <v>(2.2)</v>
      </c>
      <c r="O100" s="1" t="str">
        <f>"13.5"</f>
        <v>13.5</v>
      </c>
      <c r="P100" s="1" t="str">
        <f>"(3.1)"</f>
        <v>(3.1)</v>
      </c>
      <c r="Q100" s="56" t="str">
        <f>"15.0"</f>
        <v>15.0</v>
      </c>
      <c r="R100" s="49" t="str">
        <f>"(1.6)"</f>
        <v>(1.6)</v>
      </c>
    </row>
    <row r="101" spans="1:18" x14ac:dyDescent="0.25">
      <c r="A101" s="87"/>
      <c r="B101" s="87"/>
      <c r="C101" s="92"/>
      <c r="D101" t="s">
        <v>10</v>
      </c>
      <c r="E101" s="56" t="s">
        <v>418</v>
      </c>
      <c r="F101" s="49" t="s">
        <v>418</v>
      </c>
      <c r="G101" s="1" t="s">
        <v>418</v>
      </c>
      <c r="H101" s="1" t="s">
        <v>418</v>
      </c>
      <c r="I101" s="56" t="s">
        <v>418</v>
      </c>
      <c r="J101" s="49" t="s">
        <v>418</v>
      </c>
      <c r="K101" s="1" t="s">
        <v>418</v>
      </c>
      <c r="L101" s="1" t="s">
        <v>418</v>
      </c>
      <c r="M101" s="56" t="s">
        <v>418</v>
      </c>
      <c r="N101" s="49" t="s">
        <v>418</v>
      </c>
      <c r="O101" s="1" t="s">
        <v>418</v>
      </c>
      <c r="P101" s="1" t="s">
        <v>418</v>
      </c>
      <c r="Q101" s="56" t="str">
        <f>"1.2"</f>
        <v>1.2</v>
      </c>
      <c r="R101" s="49" t="str">
        <f>"(0.4)"</f>
        <v>(0.4)</v>
      </c>
    </row>
    <row r="102" spans="1:18" x14ac:dyDescent="0.25">
      <c r="A102" s="87"/>
      <c r="B102" s="88"/>
      <c r="C102" s="93"/>
      <c r="D102" s="4" t="str">
        <f t="shared" ref="D102" si="12">"Total"</f>
        <v>Total</v>
      </c>
      <c r="E102" s="24" t="s">
        <v>51</v>
      </c>
      <c r="F102" s="16" t="s">
        <v>52</v>
      </c>
      <c r="G102" s="6" t="s">
        <v>51</v>
      </c>
      <c r="H102" s="6" t="s">
        <v>52</v>
      </c>
      <c r="I102" s="24" t="s">
        <v>51</v>
      </c>
      <c r="J102" s="16" t="s">
        <v>52</v>
      </c>
      <c r="K102" s="6" t="s">
        <v>51</v>
      </c>
      <c r="L102" s="6" t="s">
        <v>52</v>
      </c>
      <c r="M102" s="24" t="s">
        <v>51</v>
      </c>
      <c r="N102" s="16" t="s">
        <v>52</v>
      </c>
      <c r="O102" s="6" t="s">
        <v>51</v>
      </c>
      <c r="P102" s="6" t="s">
        <v>52</v>
      </c>
      <c r="Q102" s="24" t="s">
        <v>51</v>
      </c>
      <c r="R102" s="16" t="s">
        <v>52</v>
      </c>
    </row>
    <row r="103" spans="1:18" ht="15" customHeight="1" x14ac:dyDescent="0.25">
      <c r="A103" s="87"/>
      <c r="B103" s="87" t="s">
        <v>2</v>
      </c>
      <c r="C103" s="89" t="s">
        <v>269</v>
      </c>
      <c r="D103" s="74" t="s">
        <v>6</v>
      </c>
      <c r="E103" s="59" t="str">
        <f>"48.7"</f>
        <v>48.7</v>
      </c>
      <c r="F103" s="60" t="str">
        <f>"(4.0)"</f>
        <v>(4.0)</v>
      </c>
      <c r="G103" s="61" t="str">
        <f>"52.7"</f>
        <v>52.7</v>
      </c>
      <c r="H103" s="61" t="str">
        <f>"(3.3)"</f>
        <v>(3.3)</v>
      </c>
      <c r="I103" s="59" t="str">
        <f>"47.2"</f>
        <v>47.2</v>
      </c>
      <c r="J103" s="60" t="str">
        <f>"(3.3)"</f>
        <v>(3.3)</v>
      </c>
      <c r="K103" s="61" t="str">
        <f>"44.3"</f>
        <v>44.3</v>
      </c>
      <c r="L103" s="61" t="str">
        <f>"(4.8)"</f>
        <v>(4.8)</v>
      </c>
      <c r="M103" s="59" t="str">
        <f>"48.5"</f>
        <v>48.5</v>
      </c>
      <c r="N103" s="60" t="str">
        <f>"(4.0)"</f>
        <v>(4.0)</v>
      </c>
      <c r="O103" s="61" t="str">
        <f>"42.7"</f>
        <v>42.7</v>
      </c>
      <c r="P103" s="61" t="str">
        <f>"(4.2)"</f>
        <v>(4.2)</v>
      </c>
      <c r="Q103" s="59" t="str">
        <f>"40.0"</f>
        <v>40.0</v>
      </c>
      <c r="R103" s="60" t="str">
        <f>"(2.1)"</f>
        <v>(2.1)</v>
      </c>
    </row>
    <row r="104" spans="1:18" x14ac:dyDescent="0.25">
      <c r="A104" s="87"/>
      <c r="B104" s="87"/>
      <c r="C104" s="90"/>
      <c r="D104" s="75" t="s">
        <v>7</v>
      </c>
      <c r="E104" s="63" t="str">
        <f>"40.3"</f>
        <v>40.3</v>
      </c>
      <c r="F104" s="64" t="str">
        <f>"(4.3)"</f>
        <v>(4.3)</v>
      </c>
      <c r="G104" s="65" t="str">
        <f>"36.9"</f>
        <v>36.9</v>
      </c>
      <c r="H104" s="65" t="str">
        <f>"(3.0)"</f>
        <v>(3.0)</v>
      </c>
      <c r="I104" s="63" t="str">
        <f>"37.5"</f>
        <v>37.5</v>
      </c>
      <c r="J104" s="64" t="str">
        <f>"(3.2)"</f>
        <v>(3.2)</v>
      </c>
      <c r="K104" s="65" t="str">
        <f>"40.4"</f>
        <v>40.4</v>
      </c>
      <c r="L104" s="65" t="str">
        <f>"(4.5)"</f>
        <v>(4.5)</v>
      </c>
      <c r="M104" s="63" t="str">
        <f>"41.3"</f>
        <v>41.3</v>
      </c>
      <c r="N104" s="64" t="str">
        <f>"(3.8)"</f>
        <v>(3.8)</v>
      </c>
      <c r="O104" s="65" t="str">
        <f>"42.0"</f>
        <v>42.0</v>
      </c>
      <c r="P104" s="65" t="str">
        <f>"(4.2)"</f>
        <v>(4.2)</v>
      </c>
      <c r="Q104" s="63" t="str">
        <f>"43.7"</f>
        <v>43.7</v>
      </c>
      <c r="R104" s="64" t="str">
        <f>"(2.1)"</f>
        <v>(2.1)</v>
      </c>
    </row>
    <row r="105" spans="1:18" x14ac:dyDescent="0.25">
      <c r="A105" s="87"/>
      <c r="B105" s="87"/>
      <c r="C105" s="90"/>
      <c r="D105" s="75" t="s">
        <v>8</v>
      </c>
      <c r="E105" s="63" t="str">
        <f>"6.5"</f>
        <v>6.5</v>
      </c>
      <c r="F105" s="64" t="str">
        <f>"(1.9)"</f>
        <v>(1.9)</v>
      </c>
      <c r="G105" s="65" t="str">
        <f>"7.4"</f>
        <v>7.4</v>
      </c>
      <c r="H105" s="65" t="str">
        <f>"(1.7)"</f>
        <v>(1.7)</v>
      </c>
      <c r="I105" s="63" t="str">
        <f>"8.3"</f>
        <v>8.3</v>
      </c>
      <c r="J105" s="64" t="str">
        <f>"(1.7)"</f>
        <v>(1.7)</v>
      </c>
      <c r="K105" s="65" t="str">
        <f>"8.3"</f>
        <v>8.3</v>
      </c>
      <c r="L105" s="65" t="str">
        <f>"(1.7)"</f>
        <v>(1.7)</v>
      </c>
      <c r="M105" s="63" t="str">
        <f>"6.1"</f>
        <v>6.1</v>
      </c>
      <c r="N105" s="64" t="str">
        <f>"(1.9)"</f>
        <v>(1.9)</v>
      </c>
      <c r="O105" s="65" t="str">
        <f>"9.0"</f>
        <v>9.0</v>
      </c>
      <c r="P105" s="65" t="str">
        <f>"(2.4)"</f>
        <v>(2.4)</v>
      </c>
      <c r="Q105" s="63" t="str">
        <f>"10.5"</f>
        <v>10.5</v>
      </c>
      <c r="R105" s="64" t="str">
        <f>"(1.2)"</f>
        <v>(1.2)</v>
      </c>
    </row>
    <row r="106" spans="1:18" x14ac:dyDescent="0.25">
      <c r="A106" s="87"/>
      <c r="B106" s="87"/>
      <c r="C106" s="90"/>
      <c r="D106" s="75" t="s">
        <v>9</v>
      </c>
      <c r="E106" s="63" t="str">
        <f>"4.5"</f>
        <v>4.5</v>
      </c>
      <c r="F106" s="64" t="str">
        <f>"(1.7)"</f>
        <v>(1.7)</v>
      </c>
      <c r="G106" s="65" t="str">
        <f>"3.0"</f>
        <v>3.0</v>
      </c>
      <c r="H106" s="65" t="str">
        <f>"(1.4)"</f>
        <v>(1.4)</v>
      </c>
      <c r="I106" s="63" t="str">
        <f>"6.4"</f>
        <v>6.4</v>
      </c>
      <c r="J106" s="64" t="str">
        <f>"(2.7)"</f>
        <v>(2.7)</v>
      </c>
      <c r="K106" s="65" t="str">
        <f>"6.3"</f>
        <v>6.3</v>
      </c>
      <c r="L106" s="65" t="str">
        <f>"(2.0)"</f>
        <v>(2.0)</v>
      </c>
      <c r="M106" s="63" t="str">
        <f>"3.2"</f>
        <v>3.2</v>
      </c>
      <c r="N106" s="64" t="str">
        <f>"(1.0)"</f>
        <v>(1.0)</v>
      </c>
      <c r="O106" s="65" t="str">
        <f>"4.9"</f>
        <v>4.9</v>
      </c>
      <c r="P106" s="65" t="str">
        <f>"(1.7)"</f>
        <v>(1.7)</v>
      </c>
      <c r="Q106" s="63" t="str">
        <f>"4.9"</f>
        <v>4.9</v>
      </c>
      <c r="R106" s="64" t="str">
        <f>"(1.0)"</f>
        <v>(1.0)</v>
      </c>
    </row>
    <row r="107" spans="1:18" x14ac:dyDescent="0.25">
      <c r="A107" s="87"/>
      <c r="B107" s="87"/>
      <c r="C107" s="90"/>
      <c r="D107" s="75" t="s">
        <v>10</v>
      </c>
      <c r="E107" s="63" t="s">
        <v>418</v>
      </c>
      <c r="F107" s="64" t="s">
        <v>418</v>
      </c>
      <c r="G107" s="65" t="s">
        <v>418</v>
      </c>
      <c r="H107" s="65" t="s">
        <v>418</v>
      </c>
      <c r="I107" s="63" t="s">
        <v>418</v>
      </c>
      <c r="J107" s="64" t="s">
        <v>418</v>
      </c>
      <c r="K107" s="65" t="s">
        <v>418</v>
      </c>
      <c r="L107" s="65" t="s">
        <v>418</v>
      </c>
      <c r="M107" s="63" t="s">
        <v>418</v>
      </c>
      <c r="N107" s="64" t="s">
        <v>418</v>
      </c>
      <c r="O107" s="65" t="str">
        <f>"1.5"</f>
        <v>1.5</v>
      </c>
      <c r="P107" s="65" t="str">
        <f>"(1.0)"</f>
        <v>(1.0)</v>
      </c>
      <c r="Q107" s="63" t="str">
        <f>"0.8"</f>
        <v>0.8</v>
      </c>
      <c r="R107" s="64" t="str">
        <f>"(0.3)"</f>
        <v>(0.3)</v>
      </c>
    </row>
    <row r="108" spans="1:18" x14ac:dyDescent="0.25">
      <c r="A108" s="87"/>
      <c r="B108" s="87"/>
      <c r="C108" s="91"/>
      <c r="D108" s="76" t="str">
        <f t="shared" ref="D108" si="13">"Total"</f>
        <v>Total</v>
      </c>
      <c r="E108" s="71" t="s">
        <v>51</v>
      </c>
      <c r="F108" s="72" t="s">
        <v>52</v>
      </c>
      <c r="G108" s="73" t="s">
        <v>51</v>
      </c>
      <c r="H108" s="73" t="s">
        <v>52</v>
      </c>
      <c r="I108" s="71" t="s">
        <v>51</v>
      </c>
      <c r="J108" s="72" t="s">
        <v>52</v>
      </c>
      <c r="K108" s="73" t="s">
        <v>51</v>
      </c>
      <c r="L108" s="73" t="s">
        <v>52</v>
      </c>
      <c r="M108" s="71" t="s">
        <v>51</v>
      </c>
      <c r="N108" s="72" t="s">
        <v>52</v>
      </c>
      <c r="O108" s="73" t="s">
        <v>51</v>
      </c>
      <c r="P108" s="73" t="s">
        <v>52</v>
      </c>
      <c r="Q108" s="71" t="s">
        <v>51</v>
      </c>
      <c r="R108" s="72" t="s">
        <v>52</v>
      </c>
    </row>
    <row r="109" spans="1:18" x14ac:dyDescent="0.25">
      <c r="A109" s="87"/>
      <c r="B109" s="87"/>
      <c r="C109" s="92" t="s">
        <v>270</v>
      </c>
      <c r="D109" t="s">
        <v>6</v>
      </c>
      <c r="E109" s="56" t="str">
        <f>"61.4"</f>
        <v>61.4</v>
      </c>
      <c r="F109" s="49" t="str">
        <f>"(5.5)"</f>
        <v>(5.5)</v>
      </c>
      <c r="G109" s="1" t="str">
        <f>"55.2"</f>
        <v>55.2</v>
      </c>
      <c r="H109" s="1" t="str">
        <f>"(5.4)"</f>
        <v>(5.4)</v>
      </c>
      <c r="I109" s="56" t="str">
        <f>"59.9"</f>
        <v>59.9</v>
      </c>
      <c r="J109" s="49" t="str">
        <f>"(5.1)"</f>
        <v>(5.1)</v>
      </c>
      <c r="K109" s="1" t="str">
        <f>"60.6"</f>
        <v>60.6</v>
      </c>
      <c r="L109" s="1" t="str">
        <f>"(4.1)"</f>
        <v>(4.1)</v>
      </c>
      <c r="M109" s="56" t="str">
        <f>"51.8"</f>
        <v>51.8</v>
      </c>
      <c r="N109" s="49" t="str">
        <f>"(5.3)"</f>
        <v>(5.3)</v>
      </c>
      <c r="O109" s="1" t="str">
        <f>"58.5"</f>
        <v>58.5</v>
      </c>
      <c r="P109" s="1" t="str">
        <f>"(3.4)"</f>
        <v>(3.4)</v>
      </c>
      <c r="Q109" s="56" t="str">
        <f>"46.6"</f>
        <v>46.6</v>
      </c>
      <c r="R109" s="49" t="str">
        <f>"(2.1)"</f>
        <v>(2.1)</v>
      </c>
    </row>
    <row r="110" spans="1:18" x14ac:dyDescent="0.25">
      <c r="A110" s="87"/>
      <c r="B110" s="87"/>
      <c r="C110" s="92"/>
      <c r="D110" t="s">
        <v>7</v>
      </c>
      <c r="E110" s="56" t="str">
        <f>"23.3"</f>
        <v>23.3</v>
      </c>
      <c r="F110" s="49" t="str">
        <f>"(3.8)"</f>
        <v>(3.8)</v>
      </c>
      <c r="G110" s="1" t="str">
        <f>"33.8"</f>
        <v>33.8</v>
      </c>
      <c r="H110" s="1" t="str">
        <f>"(4.8)"</f>
        <v>(4.8)</v>
      </c>
      <c r="I110" s="56" t="str">
        <f>"25.1"</f>
        <v>25.1</v>
      </c>
      <c r="J110" s="49" t="str">
        <f>"(5.5)"</f>
        <v>(5.5)</v>
      </c>
      <c r="K110" s="1" t="str">
        <f>"25.1"</f>
        <v>25.1</v>
      </c>
      <c r="L110" s="1" t="str">
        <f>"(3.3)"</f>
        <v>(3.3)</v>
      </c>
      <c r="M110" s="56" t="str">
        <f>"24.6"</f>
        <v>24.6</v>
      </c>
      <c r="N110" s="49" t="str">
        <f>"(4.2)"</f>
        <v>(4.2)</v>
      </c>
      <c r="O110" s="1" t="str">
        <f>"23.3"</f>
        <v>23.3</v>
      </c>
      <c r="P110" s="1" t="str">
        <f>"(3.1)"</f>
        <v>(3.1)</v>
      </c>
      <c r="Q110" s="56" t="str">
        <f>"23.7"</f>
        <v>23.7</v>
      </c>
      <c r="R110" s="49" t="str">
        <f>"(1.5)"</f>
        <v>(1.5)</v>
      </c>
    </row>
    <row r="111" spans="1:18" x14ac:dyDescent="0.25">
      <c r="A111" s="87"/>
      <c r="B111" s="87"/>
      <c r="C111" s="92"/>
      <c r="D111" t="s">
        <v>8</v>
      </c>
      <c r="E111" s="56" t="str">
        <f>"10.3"</f>
        <v>10.3</v>
      </c>
      <c r="F111" s="49" t="str">
        <f>"(5.8)"</f>
        <v>(5.8)</v>
      </c>
      <c r="G111" s="1" t="str">
        <f>"6.3"</f>
        <v>6.3</v>
      </c>
      <c r="H111" s="1" t="str">
        <f>"(2.5)"</f>
        <v>(2.5)</v>
      </c>
      <c r="I111" s="56" t="str">
        <f>"10.8"</f>
        <v>10.8</v>
      </c>
      <c r="J111" s="49" t="str">
        <f>"(3.2)"</f>
        <v>(3.2)</v>
      </c>
      <c r="K111" s="1" t="str">
        <f>"8.9"</f>
        <v>8.9</v>
      </c>
      <c r="L111" s="1" t="str">
        <f>"(2.3)"</f>
        <v>(2.3)</v>
      </c>
      <c r="M111" s="56" t="str">
        <f>"13.4"</f>
        <v>13.4</v>
      </c>
      <c r="N111" s="49" t="str">
        <f>"(4.0)"</f>
        <v>(4.0)</v>
      </c>
      <c r="O111" s="1" t="str">
        <f>"6.3"</f>
        <v>6.3</v>
      </c>
      <c r="P111" s="1" t="str">
        <f>"(1.8)"</f>
        <v>(1.8)</v>
      </c>
      <c r="Q111" s="56" t="str">
        <f>"15.2"</f>
        <v>15.2</v>
      </c>
      <c r="R111" s="49" t="str">
        <f>"(1.7)"</f>
        <v>(1.7)</v>
      </c>
    </row>
    <row r="112" spans="1:18" x14ac:dyDescent="0.25">
      <c r="A112" s="87"/>
      <c r="B112" s="87"/>
      <c r="C112" s="92"/>
      <c r="D112" t="s">
        <v>9</v>
      </c>
      <c r="E112" s="56" t="str">
        <f>"4.9"</f>
        <v>4.9</v>
      </c>
      <c r="F112" s="49" t="str">
        <f>"(2.2)"</f>
        <v>(2.2)</v>
      </c>
      <c r="G112" s="1" t="str">
        <f>"4.7"</f>
        <v>4.7</v>
      </c>
      <c r="H112" s="1" t="str">
        <f>"(1.8)"</f>
        <v>(1.8)</v>
      </c>
      <c r="I112" s="56" t="str">
        <f>"4.2"</f>
        <v>4.2</v>
      </c>
      <c r="J112" s="49" t="str">
        <f>"(2.3)"</f>
        <v>(2.3)</v>
      </c>
      <c r="K112" s="1" t="str">
        <f>"4.7"</f>
        <v>4.7</v>
      </c>
      <c r="L112" s="1" t="str">
        <f>"(2.0)"</f>
        <v>(2.0)</v>
      </c>
      <c r="M112" s="56" t="str">
        <f>"9.3"</f>
        <v>9.3</v>
      </c>
      <c r="N112" s="49" t="str">
        <f>"(2.0)"</f>
        <v>(2.0)</v>
      </c>
      <c r="O112" s="1" t="str">
        <f>"11.0"</f>
        <v>11.0</v>
      </c>
      <c r="P112" s="1" t="str">
        <f>"(2.4)"</f>
        <v>(2.4)</v>
      </c>
      <c r="Q112" s="56" t="str">
        <f>"13.2"</f>
        <v>13.2</v>
      </c>
      <c r="R112" s="49" t="str">
        <f>"(1.4)"</f>
        <v>(1.4)</v>
      </c>
    </row>
    <row r="113" spans="1:18" x14ac:dyDescent="0.25">
      <c r="A113" s="87"/>
      <c r="B113" s="87"/>
      <c r="C113" s="92"/>
      <c r="D113" t="s">
        <v>10</v>
      </c>
      <c r="E113" s="56" t="s">
        <v>418</v>
      </c>
      <c r="F113" s="49" t="s">
        <v>418</v>
      </c>
      <c r="G113" s="1" t="s">
        <v>418</v>
      </c>
      <c r="H113" s="1" t="s">
        <v>418</v>
      </c>
      <c r="I113" s="56" t="s">
        <v>418</v>
      </c>
      <c r="J113" s="49" t="s">
        <v>418</v>
      </c>
      <c r="K113" s="1" t="s">
        <v>418</v>
      </c>
      <c r="L113" s="1" t="s">
        <v>418</v>
      </c>
      <c r="M113" s="56" t="s">
        <v>418</v>
      </c>
      <c r="N113" s="49" t="s">
        <v>418</v>
      </c>
      <c r="O113" s="1" t="s">
        <v>418</v>
      </c>
      <c r="P113" s="1" t="s">
        <v>418</v>
      </c>
      <c r="Q113" s="56" t="str">
        <f>"1.4"</f>
        <v>1.4</v>
      </c>
      <c r="R113" s="49" t="str">
        <f>"(0.4)"</f>
        <v>(0.4)</v>
      </c>
    </row>
    <row r="114" spans="1:18" x14ac:dyDescent="0.25">
      <c r="A114" s="88"/>
      <c r="B114" s="88"/>
      <c r="C114" s="93"/>
      <c r="D114" s="4" t="str">
        <f t="shared" ref="D114" si="14">"Total"</f>
        <v>Total</v>
      </c>
      <c r="E114" s="24" t="s">
        <v>51</v>
      </c>
      <c r="F114" s="16" t="s">
        <v>52</v>
      </c>
      <c r="G114" s="6" t="s">
        <v>51</v>
      </c>
      <c r="H114" s="6" t="s">
        <v>52</v>
      </c>
      <c r="I114" s="24" t="s">
        <v>51</v>
      </c>
      <c r="J114" s="16" t="s">
        <v>52</v>
      </c>
      <c r="K114" s="6" t="s">
        <v>51</v>
      </c>
      <c r="L114" s="6" t="s">
        <v>52</v>
      </c>
      <c r="M114" s="24" t="s">
        <v>51</v>
      </c>
      <c r="N114" s="16" t="s">
        <v>52</v>
      </c>
      <c r="O114" s="6" t="s">
        <v>51</v>
      </c>
      <c r="P114" s="6" t="s">
        <v>52</v>
      </c>
      <c r="Q114" s="24" t="s">
        <v>51</v>
      </c>
      <c r="R114" s="16" t="s">
        <v>52</v>
      </c>
    </row>
    <row r="115" spans="1:18" ht="15" customHeight="1" x14ac:dyDescent="0.25">
      <c r="A115" s="86" t="s">
        <v>158</v>
      </c>
      <c r="B115" s="86" t="s">
        <v>0</v>
      </c>
      <c r="C115" s="89" t="s">
        <v>269</v>
      </c>
      <c r="D115" s="74" t="s">
        <v>6</v>
      </c>
      <c r="E115" s="59" t="str">
        <f>"56.8"</f>
        <v>56.8</v>
      </c>
      <c r="F115" s="60" t="str">
        <f>"(3.6)"</f>
        <v>(3.6)</v>
      </c>
      <c r="G115" s="61" t="str">
        <f>"62.2"</f>
        <v>62.2</v>
      </c>
      <c r="H115" s="61" t="str">
        <f>"(3.7)"</f>
        <v>(3.7)</v>
      </c>
      <c r="I115" s="59" t="str">
        <f>"52.6"</f>
        <v>52.6</v>
      </c>
      <c r="J115" s="60" t="str">
        <f>"(3.4)"</f>
        <v>(3.4)</v>
      </c>
      <c r="K115" s="61" t="str">
        <f>"57.3"</f>
        <v>57.3</v>
      </c>
      <c r="L115" s="61" t="str">
        <f>"(3.3)"</f>
        <v>(3.3)</v>
      </c>
      <c r="M115" s="59" t="str">
        <f>"53.5"</f>
        <v>53.5</v>
      </c>
      <c r="N115" s="60" t="str">
        <f>"(3.7)"</f>
        <v>(3.7)</v>
      </c>
      <c r="O115" s="61" t="str">
        <f>"49.8"</f>
        <v>49.8</v>
      </c>
      <c r="P115" s="61" t="str">
        <f>"(3.7)"</f>
        <v>(3.7)</v>
      </c>
      <c r="Q115" s="59" t="str">
        <f>"54.0"</f>
        <v>54.0</v>
      </c>
      <c r="R115" s="60" t="str">
        <f>"(2.0)"</f>
        <v>(2.0)</v>
      </c>
    </row>
    <row r="116" spans="1:18" x14ac:dyDescent="0.25">
      <c r="A116" s="87"/>
      <c r="B116" s="87"/>
      <c r="C116" s="90"/>
      <c r="D116" s="75" t="s">
        <v>7</v>
      </c>
      <c r="E116" s="63" t="str">
        <f>"30.2"</f>
        <v>30.2</v>
      </c>
      <c r="F116" s="64" t="str">
        <f>"(3.6)"</f>
        <v>(3.6)</v>
      </c>
      <c r="G116" s="65" t="str">
        <f>"21.7"</f>
        <v>21.7</v>
      </c>
      <c r="H116" s="65" t="str">
        <f>"(2.4)"</f>
        <v>(2.4)</v>
      </c>
      <c r="I116" s="63" t="str">
        <f>"32.1"</f>
        <v>32.1</v>
      </c>
      <c r="J116" s="64" t="str">
        <f>"(2.9)"</f>
        <v>(2.9)</v>
      </c>
      <c r="K116" s="65" t="str">
        <f>"27.5"</f>
        <v>27.5</v>
      </c>
      <c r="L116" s="65" t="str">
        <f>"(2.9)"</f>
        <v>(2.9)</v>
      </c>
      <c r="M116" s="63" t="str">
        <f>"28.4"</f>
        <v>28.4</v>
      </c>
      <c r="N116" s="64" t="str">
        <f>"(3.2)"</f>
        <v>(3.2)</v>
      </c>
      <c r="O116" s="65" t="str">
        <f>"35.3"</f>
        <v>35.3</v>
      </c>
      <c r="P116" s="65" t="str">
        <f>"(3.5)"</f>
        <v>(3.5)</v>
      </c>
      <c r="Q116" s="63" t="str">
        <f>"29.2"</f>
        <v>29.2</v>
      </c>
      <c r="R116" s="64" t="str">
        <f>"(1.5)"</f>
        <v>(1.5)</v>
      </c>
    </row>
    <row r="117" spans="1:18" x14ac:dyDescent="0.25">
      <c r="A117" s="87"/>
      <c r="B117" s="87"/>
      <c r="C117" s="90"/>
      <c r="D117" s="75" t="s">
        <v>8</v>
      </c>
      <c r="E117" s="63" t="str">
        <f>"10.6"</f>
        <v>10.6</v>
      </c>
      <c r="F117" s="64" t="str">
        <f>"(3.3)"</f>
        <v>(3.3)</v>
      </c>
      <c r="G117" s="65" t="str">
        <f>"6.3"</f>
        <v>6.3</v>
      </c>
      <c r="H117" s="65" t="str">
        <f>"(2.4)"</f>
        <v>(2.4)</v>
      </c>
      <c r="I117" s="63" t="str">
        <f>"8.4"</f>
        <v>8.4</v>
      </c>
      <c r="J117" s="64" t="str">
        <f>"(2.0)"</f>
        <v>(2.0)</v>
      </c>
      <c r="K117" s="65" t="str">
        <f>"6.8"</f>
        <v>6.8</v>
      </c>
      <c r="L117" s="65" t="str">
        <f>"(1.6)"</f>
        <v>(1.6)</v>
      </c>
      <c r="M117" s="63" t="str">
        <f>"12.0"</f>
        <v>12.0</v>
      </c>
      <c r="N117" s="64" t="str">
        <f>"(3.1)"</f>
        <v>(3.1)</v>
      </c>
      <c r="O117" s="65" t="str">
        <f>"10.4"</f>
        <v>10.4</v>
      </c>
      <c r="P117" s="65" t="str">
        <f>"(2.4)"</f>
        <v>(2.4)</v>
      </c>
      <c r="Q117" s="63" t="str">
        <f>"7.8"</f>
        <v>7.8</v>
      </c>
      <c r="R117" s="64" t="str">
        <f>"(1.0)"</f>
        <v>(1.0)</v>
      </c>
    </row>
    <row r="118" spans="1:18" x14ac:dyDescent="0.25">
      <c r="A118" s="87"/>
      <c r="B118" s="87"/>
      <c r="C118" s="90"/>
      <c r="D118" s="75" t="s">
        <v>9</v>
      </c>
      <c r="E118" s="63" t="str">
        <f>"2.5"</f>
        <v>2.5</v>
      </c>
      <c r="F118" s="64" t="str">
        <f>"(1.8)"</f>
        <v>(1.8)</v>
      </c>
      <c r="G118" s="65" t="str">
        <f>"9.1"</f>
        <v>9.1</v>
      </c>
      <c r="H118" s="65" t="str">
        <f>"(3.0)"</f>
        <v>(3.0)</v>
      </c>
      <c r="I118" s="63" t="str">
        <f>"5.9"</f>
        <v>5.9</v>
      </c>
      <c r="J118" s="64" t="str">
        <f>"(2.0)"</f>
        <v>(2.0)</v>
      </c>
      <c r="K118" s="65" t="str">
        <f>"7.1"</f>
        <v>7.1</v>
      </c>
      <c r="L118" s="65" t="str">
        <f>"(1.9)"</f>
        <v>(1.9)</v>
      </c>
      <c r="M118" s="63" t="str">
        <f>"5.3"</f>
        <v>5.3</v>
      </c>
      <c r="N118" s="64" t="str">
        <f>"(1.4)"</f>
        <v>(1.4)</v>
      </c>
      <c r="O118" s="65" t="str">
        <f>"3.8"</f>
        <v>3.8</v>
      </c>
      <c r="P118" s="65" t="str">
        <f>"(1.4)"</f>
        <v>(1.4)</v>
      </c>
      <c r="Q118" s="63" t="str">
        <f>"7.7"</f>
        <v>7.7</v>
      </c>
      <c r="R118" s="64" t="str">
        <f>"(1.4)"</f>
        <v>(1.4)</v>
      </c>
    </row>
    <row r="119" spans="1:18" x14ac:dyDescent="0.25">
      <c r="A119" s="87"/>
      <c r="B119" s="87"/>
      <c r="C119" s="90"/>
      <c r="D119" s="75" t="s">
        <v>10</v>
      </c>
      <c r="E119" s="63" t="s">
        <v>418</v>
      </c>
      <c r="F119" s="64" t="s">
        <v>418</v>
      </c>
      <c r="G119" s="65" t="s">
        <v>418</v>
      </c>
      <c r="H119" s="65" t="s">
        <v>418</v>
      </c>
      <c r="I119" s="63" t="str">
        <f>"1.0"</f>
        <v>1.0</v>
      </c>
      <c r="J119" s="64" t="str">
        <f>"(0.9)"</f>
        <v>(0.9)</v>
      </c>
      <c r="K119" s="65" t="str">
        <f>"1.2"</f>
        <v>1.2</v>
      </c>
      <c r="L119" s="65" t="str">
        <f>"(0.6)"</f>
        <v>(0.6)</v>
      </c>
      <c r="M119" s="63" t="str">
        <f>"0.8"</f>
        <v>0.8</v>
      </c>
      <c r="N119" s="64" t="str">
        <f>"(0.7)"</f>
        <v>(0.7)</v>
      </c>
      <c r="O119" s="65" t="str">
        <f>"0.8"</f>
        <v>0.8</v>
      </c>
      <c r="P119" s="65" t="str">
        <f>"(0.4)"</f>
        <v>(0.4)</v>
      </c>
      <c r="Q119" s="63" t="str">
        <f>"1.4"</f>
        <v>1.4</v>
      </c>
      <c r="R119" s="64" t="str">
        <f>"(0.4)"</f>
        <v>(0.4)</v>
      </c>
    </row>
    <row r="120" spans="1:18" x14ac:dyDescent="0.25">
      <c r="A120" s="87"/>
      <c r="B120" s="87"/>
      <c r="C120" s="91"/>
      <c r="D120" s="76" t="str">
        <f>"Total"</f>
        <v>Total</v>
      </c>
      <c r="E120" s="71" t="s">
        <v>51</v>
      </c>
      <c r="F120" s="72" t="s">
        <v>52</v>
      </c>
      <c r="G120" s="73" t="s">
        <v>51</v>
      </c>
      <c r="H120" s="73" t="s">
        <v>52</v>
      </c>
      <c r="I120" s="71" t="s">
        <v>51</v>
      </c>
      <c r="J120" s="72" t="s">
        <v>52</v>
      </c>
      <c r="K120" s="73" t="s">
        <v>51</v>
      </c>
      <c r="L120" s="73" t="s">
        <v>52</v>
      </c>
      <c r="M120" s="71" t="s">
        <v>51</v>
      </c>
      <c r="N120" s="72" t="s">
        <v>52</v>
      </c>
      <c r="O120" s="73" t="s">
        <v>51</v>
      </c>
      <c r="P120" s="73" t="s">
        <v>52</v>
      </c>
      <c r="Q120" s="71" t="s">
        <v>51</v>
      </c>
      <c r="R120" s="72" t="s">
        <v>52</v>
      </c>
    </row>
    <row r="121" spans="1:18" x14ac:dyDescent="0.25">
      <c r="A121" s="87"/>
      <c r="B121" s="87"/>
      <c r="C121" s="92" t="s">
        <v>270</v>
      </c>
      <c r="D121" t="s">
        <v>6</v>
      </c>
      <c r="E121" s="56" t="str">
        <f>"69.1"</f>
        <v>69.1</v>
      </c>
      <c r="F121" s="49" t="str">
        <f>"(1.9)"</f>
        <v>(1.9)</v>
      </c>
      <c r="G121" s="1" t="str">
        <f>"71.6"</f>
        <v>71.6</v>
      </c>
      <c r="H121" s="1" t="str">
        <f>"(1.9)"</f>
        <v>(1.9)</v>
      </c>
      <c r="I121" s="56" t="str">
        <f>"67.2"</f>
        <v>67.2</v>
      </c>
      <c r="J121" s="49" t="str">
        <f>"(1.9)"</f>
        <v>(1.9)</v>
      </c>
      <c r="K121" s="1" t="str">
        <f>"61.4"</f>
        <v>61.4</v>
      </c>
      <c r="L121" s="1" t="str">
        <f>"(1.7)"</f>
        <v>(1.7)</v>
      </c>
      <c r="M121" s="56" t="str">
        <f>"60.1"</f>
        <v>60.1</v>
      </c>
      <c r="N121" s="49" t="str">
        <f>"(1.7)"</f>
        <v>(1.7)</v>
      </c>
      <c r="O121" s="1" t="str">
        <f>"53.8"</f>
        <v>53.8</v>
      </c>
      <c r="P121" s="1" t="str">
        <f>"(1.7)"</f>
        <v>(1.7)</v>
      </c>
      <c r="Q121" s="56" t="str">
        <f>"58.6"</f>
        <v>58.6</v>
      </c>
      <c r="R121" s="49" t="str">
        <f>"(0.9)"</f>
        <v>(0.9)</v>
      </c>
    </row>
    <row r="122" spans="1:18" x14ac:dyDescent="0.25">
      <c r="A122" s="87"/>
      <c r="B122" s="87"/>
      <c r="C122" s="92"/>
      <c r="D122" t="s">
        <v>7</v>
      </c>
      <c r="E122" s="56" t="str">
        <f>"13.4"</f>
        <v>13.4</v>
      </c>
      <c r="F122" s="49" t="str">
        <f>"(1.0)"</f>
        <v>(1.0)</v>
      </c>
      <c r="G122" s="1" t="str">
        <f>"12.6"</f>
        <v>12.6</v>
      </c>
      <c r="H122" s="1" t="str">
        <f>"(1.1)"</f>
        <v>(1.1)</v>
      </c>
      <c r="I122" s="56" t="str">
        <f>"11.8"</f>
        <v>11.8</v>
      </c>
      <c r="J122" s="49" t="str">
        <f>"(0.9)"</f>
        <v>(0.9)</v>
      </c>
      <c r="K122" s="1" t="str">
        <f>"13.1"</f>
        <v>13.1</v>
      </c>
      <c r="L122" s="1" t="str">
        <f>"(0.9)"</f>
        <v>(0.9)</v>
      </c>
      <c r="M122" s="56" t="str">
        <f>"12.1"</f>
        <v>12.1</v>
      </c>
      <c r="N122" s="49" t="str">
        <f>"(0.9)"</f>
        <v>(0.9)</v>
      </c>
      <c r="O122" s="1" t="str">
        <f>"13.5"</f>
        <v>13.5</v>
      </c>
      <c r="P122" s="1" t="str">
        <f>"(0.7)"</f>
        <v>(0.7)</v>
      </c>
      <c r="Q122" s="56" t="str">
        <f>"13.2"</f>
        <v>13.2</v>
      </c>
      <c r="R122" s="49" t="str">
        <f>"(0.5)"</f>
        <v>(0.5)</v>
      </c>
    </row>
    <row r="123" spans="1:18" x14ac:dyDescent="0.25">
      <c r="A123" s="87"/>
      <c r="B123" s="87"/>
      <c r="C123" s="92"/>
      <c r="D123" t="s">
        <v>8</v>
      </c>
      <c r="E123" s="56" t="str">
        <f>"6.9"</f>
        <v>6.9</v>
      </c>
      <c r="F123" s="49" t="str">
        <f>"(1.0)"</f>
        <v>(1.0)</v>
      </c>
      <c r="G123" s="1" t="str">
        <f>"4.1"</f>
        <v>4.1</v>
      </c>
      <c r="H123" s="1" t="str">
        <f>"(0.8)"</f>
        <v>(0.8)</v>
      </c>
      <c r="I123" s="56" t="str">
        <f>"5.2"</f>
        <v>5.2</v>
      </c>
      <c r="J123" s="49" t="str">
        <f>"(0.9)"</f>
        <v>(0.9)</v>
      </c>
      <c r="K123" s="1" t="str">
        <f>"7.2"</f>
        <v>7.2</v>
      </c>
      <c r="L123" s="1" t="str">
        <f>"(0.9)"</f>
        <v>(0.9)</v>
      </c>
      <c r="M123" s="56" t="str">
        <f>"9.7"</f>
        <v>9.7</v>
      </c>
      <c r="N123" s="49" t="str">
        <f>"(1.2)"</f>
        <v>(1.2)</v>
      </c>
      <c r="O123" s="1" t="str">
        <f>"11.5"</f>
        <v>11.5</v>
      </c>
      <c r="P123" s="1" t="str">
        <f>"(1.3)"</f>
        <v>(1.3)</v>
      </c>
      <c r="Q123" s="56" t="str">
        <f>"6.5"</f>
        <v>6.5</v>
      </c>
      <c r="R123" s="49" t="str">
        <f>"(0.6)"</f>
        <v>(0.6)</v>
      </c>
    </row>
    <row r="124" spans="1:18" x14ac:dyDescent="0.25">
      <c r="A124" s="87"/>
      <c r="B124" s="87"/>
      <c r="C124" s="92"/>
      <c r="D124" t="s">
        <v>9</v>
      </c>
      <c r="E124" s="56" t="str">
        <f>"9.3"</f>
        <v>9.3</v>
      </c>
      <c r="F124" s="49" t="str">
        <f>"(1.3)"</f>
        <v>(1.3)</v>
      </c>
      <c r="G124" s="1" t="str">
        <f>"10.6"</f>
        <v>10.6</v>
      </c>
      <c r="H124" s="1" t="str">
        <f>"(1.3)"</f>
        <v>(1.3)</v>
      </c>
      <c r="I124" s="56" t="str">
        <f>"14.9"</f>
        <v>14.9</v>
      </c>
      <c r="J124" s="49" t="str">
        <f>"(1.9)"</f>
        <v>(1.9)</v>
      </c>
      <c r="K124" s="1" t="str">
        <f>"17.5"</f>
        <v>17.5</v>
      </c>
      <c r="L124" s="1" t="str">
        <f>"(1.5)"</f>
        <v>(1.5)</v>
      </c>
      <c r="M124" s="56" t="str">
        <f>"17.4"</f>
        <v>17.4</v>
      </c>
      <c r="N124" s="49" t="str">
        <f>"(1.3)"</f>
        <v>(1.3)</v>
      </c>
      <c r="O124" s="1" t="str">
        <f>"18.5"</f>
        <v>18.5</v>
      </c>
      <c r="P124" s="1" t="str">
        <f>"(1.5)"</f>
        <v>(1.5)</v>
      </c>
      <c r="Q124" s="56" t="str">
        <f>"20.1"</f>
        <v>20.1</v>
      </c>
      <c r="R124" s="49" t="str">
        <f>"(0.8)"</f>
        <v>(0.8)</v>
      </c>
    </row>
    <row r="125" spans="1:18" x14ac:dyDescent="0.25">
      <c r="A125" s="87"/>
      <c r="B125" s="87"/>
      <c r="C125" s="92"/>
      <c r="D125" t="s">
        <v>10</v>
      </c>
      <c r="E125" s="56" t="str">
        <f>"1.3"</f>
        <v>1.3</v>
      </c>
      <c r="F125" s="49" t="str">
        <f>"(0.6)"</f>
        <v>(0.6)</v>
      </c>
      <c r="G125" s="1" t="str">
        <f>"1.1"</f>
        <v>1.1</v>
      </c>
      <c r="H125" s="1" t="str">
        <f>"(0.5)"</f>
        <v>(0.5)</v>
      </c>
      <c r="I125" s="56" t="str">
        <f>"0.8"</f>
        <v>0.8</v>
      </c>
      <c r="J125" s="49" t="str">
        <f>"(0.4)"</f>
        <v>(0.4)</v>
      </c>
      <c r="K125" s="1" t="str">
        <f>"0.8"</f>
        <v>0.8</v>
      </c>
      <c r="L125" s="1" t="str">
        <f>"(0.3)"</f>
        <v>(0.3)</v>
      </c>
      <c r="M125" s="56" t="str">
        <f>"0.7"</f>
        <v>0.7</v>
      </c>
      <c r="N125" s="49" t="str">
        <f>"(0.2)"</f>
        <v>(0.2)</v>
      </c>
      <c r="O125" s="1" t="str">
        <f>"2.7"</f>
        <v>2.7</v>
      </c>
      <c r="P125" s="1" t="str">
        <f>"(0.7)"</f>
        <v>(0.7)</v>
      </c>
      <c r="Q125" s="56" t="str">
        <f>"1.6"</f>
        <v>1.6</v>
      </c>
      <c r="R125" s="49" t="str">
        <f>"(0.3)"</f>
        <v>(0.3)</v>
      </c>
    </row>
    <row r="126" spans="1:18" x14ac:dyDescent="0.25">
      <c r="A126" s="87"/>
      <c r="B126" s="88"/>
      <c r="C126" s="93"/>
      <c r="D126" s="4" t="str">
        <f t="shared" ref="D126" si="15">"Total"</f>
        <v>Total</v>
      </c>
      <c r="E126" s="24" t="s">
        <v>51</v>
      </c>
      <c r="F126" s="16" t="s">
        <v>52</v>
      </c>
      <c r="G126" s="6" t="s">
        <v>51</v>
      </c>
      <c r="H126" s="6" t="s">
        <v>52</v>
      </c>
      <c r="I126" s="24" t="s">
        <v>51</v>
      </c>
      <c r="J126" s="16" t="s">
        <v>52</v>
      </c>
      <c r="K126" s="6" t="s">
        <v>51</v>
      </c>
      <c r="L126" s="6" t="s">
        <v>52</v>
      </c>
      <c r="M126" s="24" t="s">
        <v>51</v>
      </c>
      <c r="N126" s="16" t="s">
        <v>52</v>
      </c>
      <c r="O126" s="6" t="s">
        <v>51</v>
      </c>
      <c r="P126" s="6" t="s">
        <v>52</v>
      </c>
      <c r="Q126" s="24" t="s">
        <v>51</v>
      </c>
      <c r="R126" s="16" t="s">
        <v>52</v>
      </c>
    </row>
    <row r="127" spans="1:18" x14ac:dyDescent="0.25">
      <c r="A127" s="87"/>
      <c r="B127" s="86" t="s">
        <v>1</v>
      </c>
      <c r="C127" s="89" t="s">
        <v>269</v>
      </c>
      <c r="D127" s="74" t="s">
        <v>6</v>
      </c>
      <c r="E127" s="59" t="str">
        <f>"55.6"</f>
        <v>55.6</v>
      </c>
      <c r="F127" s="60" t="str">
        <f>"(3.3)"</f>
        <v>(3.3)</v>
      </c>
      <c r="G127" s="61" t="str">
        <f>"62.5"</f>
        <v>62.5</v>
      </c>
      <c r="H127" s="61" t="str">
        <f>"(3.8)"</f>
        <v>(3.8)</v>
      </c>
      <c r="I127" s="59" t="str">
        <f>"52.2"</f>
        <v>52.2</v>
      </c>
      <c r="J127" s="60" t="str">
        <f>"(3.0)"</f>
        <v>(3.0)</v>
      </c>
      <c r="K127" s="61" t="str">
        <f>"55.4"</f>
        <v>55.4</v>
      </c>
      <c r="L127" s="61" t="str">
        <f>"(3.1)"</f>
        <v>(3.1)</v>
      </c>
      <c r="M127" s="59" t="str">
        <f>"53.4"</f>
        <v>53.4</v>
      </c>
      <c r="N127" s="60" t="str">
        <f>"(3.1)"</f>
        <v>(3.1)</v>
      </c>
      <c r="O127" s="61" t="str">
        <f>"49.2"</f>
        <v>49.2</v>
      </c>
      <c r="P127" s="61" t="str">
        <f>"(3.1)"</f>
        <v>(3.1)</v>
      </c>
      <c r="Q127" s="59" t="str">
        <f>"54.5"</f>
        <v>54.5</v>
      </c>
      <c r="R127" s="60" t="str">
        <f>"(1.9)"</f>
        <v>(1.9)</v>
      </c>
    </row>
    <row r="128" spans="1:18" x14ac:dyDescent="0.25">
      <c r="A128" s="87"/>
      <c r="B128" s="87"/>
      <c r="C128" s="90"/>
      <c r="D128" s="75" t="s">
        <v>7</v>
      </c>
      <c r="E128" s="63" t="str">
        <f>"29.0"</f>
        <v>29.0</v>
      </c>
      <c r="F128" s="64" t="str">
        <f>"(3.1)"</f>
        <v>(3.1)</v>
      </c>
      <c r="G128" s="65" t="str">
        <f>"21.4"</f>
        <v>21.4</v>
      </c>
      <c r="H128" s="65" t="str">
        <f>"(2.5)"</f>
        <v>(2.5)</v>
      </c>
      <c r="I128" s="63" t="str">
        <f>"29.8"</f>
        <v>29.8</v>
      </c>
      <c r="J128" s="64" t="str">
        <f>"(2.4)"</f>
        <v>(2.4)</v>
      </c>
      <c r="K128" s="65" t="str">
        <f>"25.1"</f>
        <v>25.1</v>
      </c>
      <c r="L128" s="65" t="str">
        <f>"(2.6)"</f>
        <v>(2.6)</v>
      </c>
      <c r="M128" s="63" t="str">
        <f>"26.9"</f>
        <v>26.9</v>
      </c>
      <c r="N128" s="64" t="str">
        <f>"(2.7)"</f>
        <v>(2.7)</v>
      </c>
      <c r="O128" s="65" t="str">
        <f>"32.4"</f>
        <v>32.4</v>
      </c>
      <c r="P128" s="65" t="str">
        <f>"(3.1)"</f>
        <v>(3.1)</v>
      </c>
      <c r="Q128" s="63" t="str">
        <f>"28.3"</f>
        <v>28.3</v>
      </c>
      <c r="R128" s="64" t="str">
        <f>"(1.5)"</f>
        <v>(1.5)</v>
      </c>
    </row>
    <row r="129" spans="1:18" x14ac:dyDescent="0.25">
      <c r="A129" s="87"/>
      <c r="B129" s="87"/>
      <c r="C129" s="90"/>
      <c r="D129" s="75" t="s">
        <v>8</v>
      </c>
      <c r="E129" s="63" t="str">
        <f>"11.4"</f>
        <v>11.4</v>
      </c>
      <c r="F129" s="64" t="str">
        <f>"(2.7)"</f>
        <v>(2.7)</v>
      </c>
      <c r="G129" s="65" t="str">
        <f>"5.8"</f>
        <v>5.8</v>
      </c>
      <c r="H129" s="65" t="str">
        <f>"(1.9)"</f>
        <v>(1.9)</v>
      </c>
      <c r="I129" s="63" t="str">
        <f>"8.7"</f>
        <v>8.7</v>
      </c>
      <c r="J129" s="64" t="str">
        <f>"(1.7)"</f>
        <v>(1.7)</v>
      </c>
      <c r="K129" s="65" t="str">
        <f>"6.7"</f>
        <v>6.7</v>
      </c>
      <c r="L129" s="65" t="str">
        <f>"(1.3)"</f>
        <v>(1.3)</v>
      </c>
      <c r="M129" s="63" t="str">
        <f>"12.5"</f>
        <v>12.5</v>
      </c>
      <c r="N129" s="64" t="str">
        <f>"(2.5)"</f>
        <v>(2.5)</v>
      </c>
      <c r="O129" s="65" t="str">
        <f>"12.0"</f>
        <v>12.0</v>
      </c>
      <c r="P129" s="65" t="str">
        <f>"(2.2)"</f>
        <v>(2.2)</v>
      </c>
      <c r="Q129" s="63" t="str">
        <f>"7.3"</f>
        <v>7.3</v>
      </c>
      <c r="R129" s="64" t="str">
        <f>"(1.0)"</f>
        <v>(1.0)</v>
      </c>
    </row>
    <row r="130" spans="1:18" x14ac:dyDescent="0.25">
      <c r="A130" s="87"/>
      <c r="B130" s="87"/>
      <c r="C130" s="90"/>
      <c r="D130" s="75" t="s">
        <v>9</v>
      </c>
      <c r="E130" s="63" t="str">
        <f>"3.3"</f>
        <v>3.3</v>
      </c>
      <c r="F130" s="64" t="str">
        <f>"(2.0)"</f>
        <v>(2.0)</v>
      </c>
      <c r="G130" s="65" t="str">
        <f>"9.1"</f>
        <v>9.1</v>
      </c>
      <c r="H130" s="65" t="str">
        <f>"(2.5)"</f>
        <v>(2.5)</v>
      </c>
      <c r="I130" s="63" t="str">
        <f>"8.4"</f>
        <v>8.4</v>
      </c>
      <c r="J130" s="64" t="str">
        <f>"(2.1)"</f>
        <v>(2.1)</v>
      </c>
      <c r="K130" s="65" t="str">
        <f>"11.7"</f>
        <v>11.7</v>
      </c>
      <c r="L130" s="65" t="str">
        <f>"(2.6)"</f>
        <v>(2.6)</v>
      </c>
      <c r="M130" s="63" t="str">
        <f>"6.4"</f>
        <v>6.4</v>
      </c>
      <c r="N130" s="64" t="str">
        <f>"(1.7)"</f>
        <v>(1.7)</v>
      </c>
      <c r="O130" s="65" t="str">
        <f>"4.5"</f>
        <v>4.5</v>
      </c>
      <c r="P130" s="65" t="str">
        <f>"(1.5)"</f>
        <v>(1.5)</v>
      </c>
      <c r="Q130" s="63" t="str">
        <f>"8.2"</f>
        <v>8.2</v>
      </c>
      <c r="R130" s="64" t="str">
        <f>"(1.3)"</f>
        <v>(1.3)</v>
      </c>
    </row>
    <row r="131" spans="1:18" x14ac:dyDescent="0.25">
      <c r="A131" s="87"/>
      <c r="B131" s="87"/>
      <c r="C131" s="90"/>
      <c r="D131" s="75" t="s">
        <v>10</v>
      </c>
      <c r="E131" s="63" t="s">
        <v>418</v>
      </c>
      <c r="F131" s="64" t="s">
        <v>418</v>
      </c>
      <c r="G131" s="65" t="str">
        <f>"1.2"</f>
        <v>1.2</v>
      </c>
      <c r="H131" s="65" t="str">
        <f>"(0.9)"</f>
        <v>(0.9)</v>
      </c>
      <c r="I131" s="63" t="str">
        <f>"0.9"</f>
        <v>0.9</v>
      </c>
      <c r="J131" s="64" t="str">
        <f>"(0.7)"</f>
        <v>(0.7)</v>
      </c>
      <c r="K131" s="65" t="str">
        <f>"1.0"</f>
        <v>1.0</v>
      </c>
      <c r="L131" s="65" t="str">
        <f>"(0.4)"</f>
        <v>(0.4)</v>
      </c>
      <c r="M131" s="63" t="str">
        <f>"0.8"</f>
        <v>0.8</v>
      </c>
      <c r="N131" s="64" t="str">
        <f>"(0.6)"</f>
        <v>(0.6)</v>
      </c>
      <c r="O131" s="65" t="str">
        <f>"2.0"</f>
        <v>2.0</v>
      </c>
      <c r="P131" s="65" t="str">
        <f>"(1.1)"</f>
        <v>(1.1)</v>
      </c>
      <c r="Q131" s="63" t="str">
        <f>"1.7"</f>
        <v>1.7</v>
      </c>
      <c r="R131" s="64" t="str">
        <f>"(0.5)"</f>
        <v>(0.5)</v>
      </c>
    </row>
    <row r="132" spans="1:18" x14ac:dyDescent="0.25">
      <c r="A132" s="87"/>
      <c r="B132" s="87"/>
      <c r="C132" s="91"/>
      <c r="D132" s="76" t="str">
        <f t="shared" ref="D132" si="16">"Total"</f>
        <v>Total</v>
      </c>
      <c r="E132" s="71" t="s">
        <v>51</v>
      </c>
      <c r="F132" s="72" t="s">
        <v>52</v>
      </c>
      <c r="G132" s="73" t="s">
        <v>51</v>
      </c>
      <c r="H132" s="73" t="s">
        <v>52</v>
      </c>
      <c r="I132" s="71" t="s">
        <v>51</v>
      </c>
      <c r="J132" s="72" t="s">
        <v>52</v>
      </c>
      <c r="K132" s="73" t="s">
        <v>51</v>
      </c>
      <c r="L132" s="73" t="s">
        <v>52</v>
      </c>
      <c r="M132" s="71" t="s">
        <v>51</v>
      </c>
      <c r="N132" s="72" t="s">
        <v>52</v>
      </c>
      <c r="O132" s="73" t="s">
        <v>51</v>
      </c>
      <c r="P132" s="73" t="s">
        <v>52</v>
      </c>
      <c r="Q132" s="71" t="s">
        <v>51</v>
      </c>
      <c r="R132" s="72" t="s">
        <v>52</v>
      </c>
    </row>
    <row r="133" spans="1:18" x14ac:dyDescent="0.25">
      <c r="A133" s="87"/>
      <c r="B133" s="87"/>
      <c r="C133" s="92" t="s">
        <v>270</v>
      </c>
      <c r="D133" t="s">
        <v>6</v>
      </c>
      <c r="E133" s="56" t="str">
        <f>"70.0"</f>
        <v>70.0</v>
      </c>
      <c r="F133" s="49" t="str">
        <f>"(2.0)"</f>
        <v>(2.0)</v>
      </c>
      <c r="G133" s="1" t="str">
        <f>"72.3"</f>
        <v>72.3</v>
      </c>
      <c r="H133" s="1" t="str">
        <f>"(1.8)"</f>
        <v>(1.8)</v>
      </c>
      <c r="I133" s="56" t="str">
        <f>"68.6"</f>
        <v>68.6</v>
      </c>
      <c r="J133" s="49" t="str">
        <f>"(2.0)"</f>
        <v>(2.0)</v>
      </c>
      <c r="K133" s="1" t="str">
        <f>"62.2"</f>
        <v>62.2</v>
      </c>
      <c r="L133" s="1" t="str">
        <f>"(1.7)"</f>
        <v>(1.7)</v>
      </c>
      <c r="M133" s="56" t="str">
        <f>"60.5"</f>
        <v>60.5</v>
      </c>
      <c r="N133" s="49" t="str">
        <f>"(1.7)"</f>
        <v>(1.7)</v>
      </c>
      <c r="O133" s="1" t="str">
        <f>"54.2"</f>
        <v>54.2</v>
      </c>
      <c r="P133" s="1" t="str">
        <f>"(1.8)"</f>
        <v>(1.8)</v>
      </c>
      <c r="Q133" s="56" t="str">
        <f>"58.7"</f>
        <v>58.7</v>
      </c>
      <c r="R133" s="49" t="str">
        <f>"(0.9)"</f>
        <v>(0.9)</v>
      </c>
    </row>
    <row r="134" spans="1:18" x14ac:dyDescent="0.25">
      <c r="A134" s="87"/>
      <c r="B134" s="87"/>
      <c r="C134" s="92"/>
      <c r="D134" t="s">
        <v>7</v>
      </c>
      <c r="E134" s="56" t="str">
        <f>"12.8"</f>
        <v>12.8</v>
      </c>
      <c r="F134" s="49" t="str">
        <f>"(1.0)"</f>
        <v>(1.0)</v>
      </c>
      <c r="G134" s="1" t="str">
        <f>"12.0"</f>
        <v>12.0</v>
      </c>
      <c r="H134" s="1" t="str">
        <f>"(1.1)"</f>
        <v>(1.1)</v>
      </c>
      <c r="I134" s="56" t="str">
        <f>"10.9"</f>
        <v>10.9</v>
      </c>
      <c r="J134" s="49" t="str">
        <f>"(1.0)"</f>
        <v>(1.0)</v>
      </c>
      <c r="K134" s="1" t="str">
        <f>"12.7"</f>
        <v>12.7</v>
      </c>
      <c r="L134" s="1" t="str">
        <f>"(0.9)"</f>
        <v>(0.9)</v>
      </c>
      <c r="M134" s="56" t="str">
        <f>"11.5"</f>
        <v>11.5</v>
      </c>
      <c r="N134" s="49" t="str">
        <f>"(1.0)"</f>
        <v>(1.0)</v>
      </c>
      <c r="O134" s="1" t="str">
        <f>"13.0"</f>
        <v>13.0</v>
      </c>
      <c r="P134" s="1" t="str">
        <f>"(0.8)"</f>
        <v>(0.8)</v>
      </c>
      <c r="Q134" s="56" t="str">
        <f>"12.7"</f>
        <v>12.7</v>
      </c>
      <c r="R134" s="49" t="str">
        <f>"(0.4)"</f>
        <v>(0.4)</v>
      </c>
    </row>
    <row r="135" spans="1:18" x14ac:dyDescent="0.25">
      <c r="A135" s="87"/>
      <c r="B135" s="87"/>
      <c r="C135" s="92"/>
      <c r="D135" t="s">
        <v>8</v>
      </c>
      <c r="E135" s="56" t="str">
        <f>"6.5"</f>
        <v>6.5</v>
      </c>
      <c r="F135" s="49" t="str">
        <f>"(1.0)"</f>
        <v>(1.0)</v>
      </c>
      <c r="G135" s="1" t="str">
        <f>"4.1"</f>
        <v>4.1</v>
      </c>
      <c r="H135" s="1" t="str">
        <f>"(0.8)"</f>
        <v>(0.8)</v>
      </c>
      <c r="I135" s="56" t="str">
        <f>"4.9"</f>
        <v>4.9</v>
      </c>
      <c r="J135" s="49" t="str">
        <f>"(0.9)"</f>
        <v>(0.9)</v>
      </c>
      <c r="K135" s="1" t="str">
        <f>"7.3"</f>
        <v>7.3</v>
      </c>
      <c r="L135" s="1" t="str">
        <f>"(1.0)"</f>
        <v>(1.0)</v>
      </c>
      <c r="M135" s="56" t="str">
        <f>"9.4"</f>
        <v>9.4</v>
      </c>
      <c r="N135" s="49" t="str">
        <f>"(1.3)"</f>
        <v>(1.3)</v>
      </c>
      <c r="O135" s="1" t="str">
        <f>"11.2"</f>
        <v>11.2</v>
      </c>
      <c r="P135" s="1" t="str">
        <f>"(1.4)"</f>
        <v>(1.4)</v>
      </c>
      <c r="Q135" s="56" t="str">
        <f>"6.6"</f>
        <v>6.6</v>
      </c>
      <c r="R135" s="49" t="str">
        <f>"(0.6)"</f>
        <v>(0.6)</v>
      </c>
    </row>
    <row r="136" spans="1:18" x14ac:dyDescent="0.25">
      <c r="A136" s="87"/>
      <c r="B136" s="87"/>
      <c r="C136" s="92"/>
      <c r="D136" t="s">
        <v>9</v>
      </c>
      <c r="E136" s="56" t="str">
        <f>"9.5"</f>
        <v>9.5</v>
      </c>
      <c r="F136" s="49" t="str">
        <f>"(1.3)"</f>
        <v>(1.3)</v>
      </c>
      <c r="G136" s="1" t="str">
        <f>"10.7"</f>
        <v>10.7</v>
      </c>
      <c r="H136" s="1" t="str">
        <f>"(1.4)"</f>
        <v>(1.4)</v>
      </c>
      <c r="I136" s="56" t="str">
        <f>"14.8"</f>
        <v>14.8</v>
      </c>
      <c r="J136" s="49" t="str">
        <f>"(1.9)"</f>
        <v>(1.9)</v>
      </c>
      <c r="K136" s="1" t="str">
        <f>"17.0"</f>
        <v>17.0</v>
      </c>
      <c r="L136" s="1" t="str">
        <f>"(1.5)"</f>
        <v>(1.5)</v>
      </c>
      <c r="M136" s="56" t="str">
        <f>"17.8"</f>
        <v>17.8</v>
      </c>
      <c r="N136" s="49" t="str">
        <f>"(1.3)"</f>
        <v>(1.3)</v>
      </c>
      <c r="O136" s="1" t="str">
        <f>"19.1"</f>
        <v>19.1</v>
      </c>
      <c r="P136" s="1" t="str">
        <f>"(1.6)"</f>
        <v>(1.6)</v>
      </c>
      <c r="Q136" s="56" t="str">
        <f>"20.6"</f>
        <v>20.6</v>
      </c>
      <c r="R136" s="49" t="str">
        <f>"(0.8)"</f>
        <v>(0.8)</v>
      </c>
    </row>
    <row r="137" spans="1:18" x14ac:dyDescent="0.25">
      <c r="A137" s="87"/>
      <c r="B137" s="87"/>
      <c r="C137" s="92"/>
      <c r="D137" t="s">
        <v>10</v>
      </c>
      <c r="E137" s="56" t="str">
        <f>"1.2"</f>
        <v>1.2</v>
      </c>
      <c r="F137" s="49" t="str">
        <f>"(0.6)"</f>
        <v>(0.6)</v>
      </c>
      <c r="G137" s="1" t="str">
        <f>"0.9"</f>
        <v>0.9</v>
      </c>
      <c r="H137" s="1" t="str">
        <f>"(0.4)"</f>
        <v>(0.4)</v>
      </c>
      <c r="I137" s="56" t="str">
        <f>"0.8"</f>
        <v>0.8</v>
      </c>
      <c r="J137" s="49" t="str">
        <f>"(0.4)"</f>
        <v>(0.4)</v>
      </c>
      <c r="K137" s="1" t="str">
        <f>"0.9"</f>
        <v>0.9</v>
      </c>
      <c r="L137" s="1" t="str">
        <f>"(0.3)"</f>
        <v>(0.3)</v>
      </c>
      <c r="M137" s="56" t="str">
        <f>"0.7"</f>
        <v>0.7</v>
      </c>
      <c r="N137" s="49" t="str">
        <f>"(0.2)"</f>
        <v>(0.2)</v>
      </c>
      <c r="O137" s="1" t="str">
        <f>"2.6"</f>
        <v>2.6</v>
      </c>
      <c r="P137" s="1" t="str">
        <f>"(0.7)"</f>
        <v>(0.7)</v>
      </c>
      <c r="Q137" s="56" t="str">
        <f>"1.5"</f>
        <v>1.5</v>
      </c>
      <c r="R137" s="49" t="str">
        <f>"(0.3)"</f>
        <v>(0.3)</v>
      </c>
    </row>
    <row r="138" spans="1:18" x14ac:dyDescent="0.25">
      <c r="A138" s="87"/>
      <c r="B138" s="88"/>
      <c r="C138" s="93"/>
      <c r="D138" s="4" t="str">
        <f t="shared" ref="D138" si="17">"Total"</f>
        <v>Total</v>
      </c>
      <c r="E138" s="24" t="s">
        <v>51</v>
      </c>
      <c r="F138" s="16" t="s">
        <v>52</v>
      </c>
      <c r="G138" s="6" t="s">
        <v>51</v>
      </c>
      <c r="H138" s="6" t="s">
        <v>52</v>
      </c>
      <c r="I138" s="24" t="s">
        <v>51</v>
      </c>
      <c r="J138" s="16" t="s">
        <v>52</v>
      </c>
      <c r="K138" s="6" t="s">
        <v>51</v>
      </c>
      <c r="L138" s="6" t="s">
        <v>52</v>
      </c>
      <c r="M138" s="24" t="s">
        <v>51</v>
      </c>
      <c r="N138" s="16" t="s">
        <v>52</v>
      </c>
      <c r="O138" s="6" t="s">
        <v>51</v>
      </c>
      <c r="P138" s="6" t="s">
        <v>52</v>
      </c>
      <c r="Q138" s="24" t="s">
        <v>51</v>
      </c>
      <c r="R138" s="16" t="s">
        <v>52</v>
      </c>
    </row>
    <row r="139" spans="1:18" ht="15" customHeight="1" x14ac:dyDescent="0.25">
      <c r="A139" s="87"/>
      <c r="B139" s="86" t="s">
        <v>2</v>
      </c>
      <c r="C139" s="89" t="s">
        <v>269</v>
      </c>
      <c r="D139" s="74" t="s">
        <v>6</v>
      </c>
      <c r="E139" s="59" t="str">
        <f>"64.6"</f>
        <v>64.6</v>
      </c>
      <c r="F139" s="60" t="str">
        <f>"(4.3)"</f>
        <v>(4.3)</v>
      </c>
      <c r="G139" s="61" t="str">
        <f>"64.9"</f>
        <v>64.9</v>
      </c>
      <c r="H139" s="61" t="str">
        <f>"(3.6)"</f>
        <v>(3.6)</v>
      </c>
      <c r="I139" s="59" t="str">
        <f>"54.8"</f>
        <v>54.8</v>
      </c>
      <c r="J139" s="60" t="str">
        <f>"(3.5)"</f>
        <v>(3.5)</v>
      </c>
      <c r="K139" s="61" t="str">
        <f>"61.4"</f>
        <v>61.4</v>
      </c>
      <c r="L139" s="61" t="str">
        <f>"(3.7)"</f>
        <v>(3.7)</v>
      </c>
      <c r="M139" s="59" t="str">
        <f>"57.0"</f>
        <v>57.0</v>
      </c>
      <c r="N139" s="60" t="str">
        <f>"(3.8)"</f>
        <v>(3.8)</v>
      </c>
      <c r="O139" s="61" t="str">
        <f>"54.4"</f>
        <v>54.4</v>
      </c>
      <c r="P139" s="61" t="str">
        <f>"(3.6)"</f>
        <v>(3.6)</v>
      </c>
      <c r="Q139" s="59" t="str">
        <f>"52.5"</f>
        <v>52.5</v>
      </c>
      <c r="R139" s="60" t="str">
        <f>"(2.3)"</f>
        <v>(2.3)</v>
      </c>
    </row>
    <row r="140" spans="1:18" x14ac:dyDescent="0.25">
      <c r="A140" s="87"/>
      <c r="B140" s="87"/>
      <c r="C140" s="90"/>
      <c r="D140" s="75" t="s">
        <v>7</v>
      </c>
      <c r="E140" s="63" t="str">
        <f>"29.4"</f>
        <v>29.4</v>
      </c>
      <c r="F140" s="64" t="str">
        <f>"(4.3)"</f>
        <v>(4.3)</v>
      </c>
      <c r="G140" s="65" t="str">
        <f>"26.4"</f>
        <v>26.4</v>
      </c>
      <c r="H140" s="65" t="str">
        <f>"(3.4)"</f>
        <v>(3.4)</v>
      </c>
      <c r="I140" s="63" t="str">
        <f>"33.1"</f>
        <v>33.1</v>
      </c>
      <c r="J140" s="64" t="str">
        <f>"(3.1)"</f>
        <v>(3.1)</v>
      </c>
      <c r="K140" s="65" t="str">
        <f>"26.0"</f>
        <v>26.0</v>
      </c>
      <c r="L140" s="65" t="str">
        <f>"(3.1)"</f>
        <v>(3.1)</v>
      </c>
      <c r="M140" s="63" t="str">
        <f>"26.5"</f>
        <v>26.5</v>
      </c>
      <c r="N140" s="64" t="str">
        <f>"(3.4)"</f>
        <v>(3.4)</v>
      </c>
      <c r="O140" s="65" t="str">
        <f>"32.4"</f>
        <v>32.4</v>
      </c>
      <c r="P140" s="65" t="str">
        <f>"(3.6)"</f>
        <v>(3.6)</v>
      </c>
      <c r="Q140" s="63" t="str">
        <f>"33.0"</f>
        <v>33.0</v>
      </c>
      <c r="R140" s="64" t="str">
        <f>"(2.0)"</f>
        <v>(2.0)</v>
      </c>
    </row>
    <row r="141" spans="1:18" x14ac:dyDescent="0.25">
      <c r="A141" s="87"/>
      <c r="B141" s="87"/>
      <c r="C141" s="90"/>
      <c r="D141" s="75" t="s">
        <v>8</v>
      </c>
      <c r="E141" s="63" t="str">
        <f>"5.6"</f>
        <v>5.6</v>
      </c>
      <c r="F141" s="64" t="str">
        <f>"(2.5)"</f>
        <v>(2.5)</v>
      </c>
      <c r="G141" s="65" t="str">
        <f>"4.1"</f>
        <v>4.1</v>
      </c>
      <c r="H141" s="65" t="str">
        <f>"(1.6)"</f>
        <v>(1.6)</v>
      </c>
      <c r="I141" s="63" t="str">
        <f>"8.2"</f>
        <v>8.2</v>
      </c>
      <c r="J141" s="64" t="str">
        <f>"(2.5)"</f>
        <v>(2.5)</v>
      </c>
      <c r="K141" s="65" t="str">
        <f>"5.8"</f>
        <v>5.8</v>
      </c>
      <c r="L141" s="65" t="str">
        <f>"(1.9)"</f>
        <v>(1.9)</v>
      </c>
      <c r="M141" s="63" t="str">
        <f>"11.8"</f>
        <v>11.8</v>
      </c>
      <c r="N141" s="64" t="str">
        <f>"(3.5)"</f>
        <v>(3.5)</v>
      </c>
      <c r="O141" s="65" t="str">
        <f>"7.4"</f>
        <v>7.4</v>
      </c>
      <c r="P141" s="65" t="str">
        <f>"(2.4)"</f>
        <v>(2.4)</v>
      </c>
      <c r="Q141" s="63" t="str">
        <f>"7.5"</f>
        <v>7.5</v>
      </c>
      <c r="R141" s="64" t="str">
        <f>"(1.1)"</f>
        <v>(1.1)</v>
      </c>
    </row>
    <row r="142" spans="1:18" x14ac:dyDescent="0.25">
      <c r="A142" s="87"/>
      <c r="B142" s="87"/>
      <c r="C142" s="90"/>
      <c r="D142" s="75" t="s">
        <v>9</v>
      </c>
      <c r="E142" s="63" t="s">
        <v>418</v>
      </c>
      <c r="F142" s="64" t="s">
        <v>418</v>
      </c>
      <c r="G142" s="65" t="str">
        <f>"3.3"</f>
        <v>3.3</v>
      </c>
      <c r="H142" s="65" t="str">
        <f>"(1.7)"</f>
        <v>(1.7)</v>
      </c>
      <c r="I142" s="63" t="str">
        <f>"2.3"</f>
        <v>2.3</v>
      </c>
      <c r="J142" s="64" t="str">
        <f>"(1.5)"</f>
        <v>(1.5)</v>
      </c>
      <c r="K142" s="65" t="str">
        <f>"5.7"</f>
        <v>5.7</v>
      </c>
      <c r="L142" s="65" t="str">
        <f>"(2.0)"</f>
        <v>(2.0)</v>
      </c>
      <c r="M142" s="63" t="str">
        <f>"4.6"</f>
        <v>4.6</v>
      </c>
      <c r="N142" s="64" t="str">
        <f>"(1.7)"</f>
        <v>(1.7)</v>
      </c>
      <c r="O142" s="65" t="str">
        <f>"4.9"</f>
        <v>4.9</v>
      </c>
      <c r="P142" s="65" t="str">
        <f>"(2.0)"</f>
        <v>(2.0)</v>
      </c>
      <c r="Q142" s="63" t="str">
        <f>"5.4"</f>
        <v>5.4</v>
      </c>
      <c r="R142" s="64" t="str">
        <f>"(1.2)"</f>
        <v>(1.2)</v>
      </c>
    </row>
    <row r="143" spans="1:18" x14ac:dyDescent="0.25">
      <c r="A143" s="87"/>
      <c r="B143" s="87"/>
      <c r="C143" s="90"/>
      <c r="D143" s="75" t="s">
        <v>10</v>
      </c>
      <c r="E143" s="63" t="s">
        <v>418</v>
      </c>
      <c r="F143" s="64" t="s">
        <v>418</v>
      </c>
      <c r="G143" s="65" t="s">
        <v>418</v>
      </c>
      <c r="H143" s="65" t="s">
        <v>418</v>
      </c>
      <c r="I143" s="63" t="str">
        <f>"1.5"</f>
        <v>1.5</v>
      </c>
      <c r="J143" s="64" t="str">
        <f>"(1.3)"</f>
        <v>(1.3)</v>
      </c>
      <c r="K143" s="65" t="str">
        <f>"1.3"</f>
        <v>1.3</v>
      </c>
      <c r="L143" s="65" t="str">
        <f>"(0.7)"</f>
        <v>(0.7)</v>
      </c>
      <c r="M143" s="63" t="s">
        <v>418</v>
      </c>
      <c r="N143" s="64" t="s">
        <v>418</v>
      </c>
      <c r="O143" s="65" t="s">
        <v>418</v>
      </c>
      <c r="P143" s="65" t="s">
        <v>418</v>
      </c>
      <c r="Q143" s="63" t="str">
        <f>"1.6"</f>
        <v>1.6</v>
      </c>
      <c r="R143" s="64" t="str">
        <f>"(0.5)"</f>
        <v>(0.5)</v>
      </c>
    </row>
    <row r="144" spans="1:18" x14ac:dyDescent="0.25">
      <c r="A144" s="87"/>
      <c r="B144" s="87"/>
      <c r="C144" s="91"/>
      <c r="D144" s="76" t="str">
        <f t="shared" ref="D144" si="18">"Total"</f>
        <v>Total</v>
      </c>
      <c r="E144" s="71" t="s">
        <v>51</v>
      </c>
      <c r="F144" s="72" t="s">
        <v>52</v>
      </c>
      <c r="G144" s="73" t="s">
        <v>51</v>
      </c>
      <c r="H144" s="73" t="s">
        <v>52</v>
      </c>
      <c r="I144" s="71" t="s">
        <v>51</v>
      </c>
      <c r="J144" s="72" t="s">
        <v>52</v>
      </c>
      <c r="K144" s="73" t="s">
        <v>51</v>
      </c>
      <c r="L144" s="73" t="s">
        <v>52</v>
      </c>
      <c r="M144" s="71" t="s">
        <v>51</v>
      </c>
      <c r="N144" s="72" t="s">
        <v>52</v>
      </c>
      <c r="O144" s="73" t="s">
        <v>51</v>
      </c>
      <c r="P144" s="73" t="s">
        <v>52</v>
      </c>
      <c r="Q144" s="71" t="s">
        <v>51</v>
      </c>
      <c r="R144" s="72" t="s">
        <v>52</v>
      </c>
    </row>
    <row r="145" spans="1:18" x14ac:dyDescent="0.25">
      <c r="A145" s="87"/>
      <c r="B145" s="87"/>
      <c r="C145" s="92" t="s">
        <v>270</v>
      </c>
      <c r="D145" t="s">
        <v>6</v>
      </c>
      <c r="E145" s="56" t="str">
        <f>"67.5"</f>
        <v>67.5</v>
      </c>
      <c r="F145" s="49" t="str">
        <f>"(1.9)"</f>
        <v>(1.9)</v>
      </c>
      <c r="G145" s="1" t="str">
        <f>"70.3"</f>
        <v>70.3</v>
      </c>
      <c r="H145" s="1" t="str">
        <f>"(2.0)"</f>
        <v>(2.0)</v>
      </c>
      <c r="I145" s="56" t="str">
        <f>"65.7"</f>
        <v>65.7</v>
      </c>
      <c r="J145" s="49" t="str">
        <f>"(2.0)"</f>
        <v>(2.0)</v>
      </c>
      <c r="K145" s="1" t="str">
        <f>"60.6"</f>
        <v>60.6</v>
      </c>
      <c r="L145" s="1" t="str">
        <f>"(1.7)"</f>
        <v>(1.7)</v>
      </c>
      <c r="M145" s="56" t="str">
        <f>"59.4"</f>
        <v>59.4</v>
      </c>
      <c r="N145" s="49" t="str">
        <f>"(1.6)"</f>
        <v>(1.6)</v>
      </c>
      <c r="O145" s="1" t="str">
        <f>"53.1"</f>
        <v>53.1</v>
      </c>
      <c r="P145" s="1" t="str">
        <f>"(1.8)"</f>
        <v>(1.8)</v>
      </c>
      <c r="Q145" s="56" t="str">
        <f>"58.4"</f>
        <v>58.4</v>
      </c>
      <c r="R145" s="49" t="str">
        <f>"(0.9)"</f>
        <v>(0.9)</v>
      </c>
    </row>
    <row r="146" spans="1:18" x14ac:dyDescent="0.25">
      <c r="A146" s="87"/>
      <c r="B146" s="87"/>
      <c r="C146" s="92"/>
      <c r="D146" t="s">
        <v>7</v>
      </c>
      <c r="E146" s="56" t="str">
        <f>"14.4"</f>
        <v>14.4</v>
      </c>
      <c r="F146" s="49" t="str">
        <f>"(1.1)"</f>
        <v>(1.1)</v>
      </c>
      <c r="G146" s="1" t="str">
        <f>"13.0"</f>
        <v>13.0</v>
      </c>
      <c r="H146" s="1" t="str">
        <f>"(1.1)"</f>
        <v>(1.1)</v>
      </c>
      <c r="I146" s="56" t="str">
        <f>"13.3"</f>
        <v>13.3</v>
      </c>
      <c r="J146" s="49" t="str">
        <f>"(1.0)"</f>
        <v>(1.0)</v>
      </c>
      <c r="K146" s="1" t="str">
        <f>"14.0"</f>
        <v>14.0</v>
      </c>
      <c r="L146" s="1" t="str">
        <f>"(0.9)"</f>
        <v>(0.9)</v>
      </c>
      <c r="M146" s="56" t="str">
        <f>"13.1"</f>
        <v>13.1</v>
      </c>
      <c r="N146" s="49" t="str">
        <f>"(0.9)"</f>
        <v>(0.9)</v>
      </c>
      <c r="O146" s="1" t="str">
        <f>"14.9"</f>
        <v>14.9</v>
      </c>
      <c r="P146" s="1" t="str">
        <f>"(0.7)"</f>
        <v>(0.7)</v>
      </c>
      <c r="Q146" s="56" t="str">
        <f>"13.8"</f>
        <v>13.8</v>
      </c>
      <c r="R146" s="49" t="str">
        <f>"(0.4)"</f>
        <v>(0.4)</v>
      </c>
    </row>
    <row r="147" spans="1:18" x14ac:dyDescent="0.25">
      <c r="A147" s="87"/>
      <c r="B147" s="87"/>
      <c r="C147" s="92"/>
      <c r="D147" t="s">
        <v>8</v>
      </c>
      <c r="E147" s="56" t="str">
        <f>"7.7"</f>
        <v>7.7</v>
      </c>
      <c r="F147" s="49" t="str">
        <f>"(1.2)"</f>
        <v>(1.2)</v>
      </c>
      <c r="G147" s="1" t="str">
        <f>"4.6"</f>
        <v>4.6</v>
      </c>
      <c r="H147" s="1" t="str">
        <f>"(0.8)"</f>
        <v>(0.8)</v>
      </c>
      <c r="I147" s="56" t="str">
        <f>"5.5"</f>
        <v>5.5</v>
      </c>
      <c r="J147" s="49" t="str">
        <f>"(0.8)"</f>
        <v>(0.8)</v>
      </c>
      <c r="K147" s="1" t="str">
        <f>"7.3"</f>
        <v>7.3</v>
      </c>
      <c r="L147" s="1" t="str">
        <f>"(0.9)"</f>
        <v>(0.9)</v>
      </c>
      <c r="M147" s="56" t="str">
        <f>"9.8"</f>
        <v>9.8</v>
      </c>
      <c r="N147" s="49" t="str">
        <f>"(1.3)"</f>
        <v>(1.3)</v>
      </c>
      <c r="O147" s="1" t="str">
        <f>"11.8"</f>
        <v>11.8</v>
      </c>
      <c r="P147" s="1" t="str">
        <f>"(1.4)"</f>
        <v>(1.4)</v>
      </c>
      <c r="Q147" s="56" t="str">
        <f>"6.6"</f>
        <v>6.6</v>
      </c>
      <c r="R147" s="49" t="str">
        <f>"(0.5)"</f>
        <v>(0.5)</v>
      </c>
    </row>
    <row r="148" spans="1:18" x14ac:dyDescent="0.25">
      <c r="A148" s="87"/>
      <c r="B148" s="87"/>
      <c r="C148" s="92"/>
      <c r="D148" t="s">
        <v>9</v>
      </c>
      <c r="E148" s="56" t="str">
        <f>"9.2"</f>
        <v>9.2</v>
      </c>
      <c r="F148" s="49" t="str">
        <f>"(1.2)"</f>
        <v>(1.2)</v>
      </c>
      <c r="G148" s="1" t="str">
        <f>"11.1"</f>
        <v>11.1</v>
      </c>
      <c r="H148" s="1" t="str">
        <f>"(1.5)"</f>
        <v>(1.5)</v>
      </c>
      <c r="I148" s="56" t="str">
        <f>"14.8"</f>
        <v>14.8</v>
      </c>
      <c r="J148" s="49" t="str">
        <f>"(1.7)"</f>
        <v>(1.7)</v>
      </c>
      <c r="K148" s="1" t="str">
        <f>"17.2"</f>
        <v>17.2</v>
      </c>
      <c r="L148" s="1" t="str">
        <f>"(1.5)"</f>
        <v>(1.5)</v>
      </c>
      <c r="M148" s="56" t="str">
        <f>"16.8"</f>
        <v>16.8</v>
      </c>
      <c r="N148" s="49" t="str">
        <f>"(1.3)"</f>
        <v>(1.3)</v>
      </c>
      <c r="O148" s="1" t="str">
        <f>"17.6"</f>
        <v>17.6</v>
      </c>
      <c r="P148" s="1" t="str">
        <f>"(1.4)"</f>
        <v>(1.4)</v>
      </c>
      <c r="Q148" s="56" t="str">
        <f>"19.6"</f>
        <v>19.6</v>
      </c>
      <c r="R148" s="49" t="str">
        <f>"(0.8)"</f>
        <v>(0.8)</v>
      </c>
    </row>
    <row r="149" spans="1:18" x14ac:dyDescent="0.25">
      <c r="A149" s="87"/>
      <c r="B149" s="87"/>
      <c r="C149" s="92"/>
      <c r="D149" t="s">
        <v>10</v>
      </c>
      <c r="E149" s="56" t="str">
        <f>"1.2"</f>
        <v>1.2</v>
      </c>
      <c r="F149" s="49" t="str">
        <f>"(0.6)"</f>
        <v>(0.6)</v>
      </c>
      <c r="G149" s="1" t="str">
        <f>"1.0"</f>
        <v>1.0</v>
      </c>
      <c r="H149" s="1" t="str">
        <f>"(0.4)"</f>
        <v>(0.4)</v>
      </c>
      <c r="I149" s="56" t="str">
        <f>"0.8"</f>
        <v>0.8</v>
      </c>
      <c r="J149" s="49" t="str">
        <f>"(0.4)"</f>
        <v>(0.4)</v>
      </c>
      <c r="K149" s="1" t="str">
        <f>"0.8"</f>
        <v>0.8</v>
      </c>
      <c r="L149" s="1" t="str">
        <f>"(0.3)"</f>
        <v>(0.3)</v>
      </c>
      <c r="M149" s="56" t="str">
        <f>"0.8"</f>
        <v>0.8</v>
      </c>
      <c r="N149" s="49" t="str">
        <f>"(0.3)"</f>
        <v>(0.3)</v>
      </c>
      <c r="O149" s="1" t="str">
        <f>"2.6"</f>
        <v>2.6</v>
      </c>
      <c r="P149" s="1" t="str">
        <f>"(0.7)"</f>
        <v>(0.7)</v>
      </c>
      <c r="Q149" s="56" t="str">
        <f>"1.6"</f>
        <v>1.6</v>
      </c>
      <c r="R149" s="49" t="str">
        <f>"(0.2)"</f>
        <v>(0.2)</v>
      </c>
    </row>
    <row r="150" spans="1:18" x14ac:dyDescent="0.25">
      <c r="A150" s="88"/>
      <c r="B150" s="88"/>
      <c r="C150" s="93"/>
      <c r="D150" s="4" t="str">
        <f t="shared" ref="D150" si="19">"Total"</f>
        <v>Total</v>
      </c>
      <c r="E150" s="24" t="s">
        <v>51</v>
      </c>
      <c r="F150" s="16" t="s">
        <v>52</v>
      </c>
      <c r="G150" s="6" t="s">
        <v>51</v>
      </c>
      <c r="H150" s="6" t="s">
        <v>52</v>
      </c>
      <c r="I150" s="24" t="s">
        <v>51</v>
      </c>
      <c r="J150" s="16" t="s">
        <v>52</v>
      </c>
      <c r="K150" s="6" t="s">
        <v>51</v>
      </c>
      <c r="L150" s="6" t="s">
        <v>52</v>
      </c>
      <c r="M150" s="24" t="s">
        <v>51</v>
      </c>
      <c r="N150" s="16" t="s">
        <v>52</v>
      </c>
      <c r="O150" s="6" t="s">
        <v>51</v>
      </c>
      <c r="P150" s="6" t="s">
        <v>52</v>
      </c>
      <c r="Q150" s="24" t="s">
        <v>51</v>
      </c>
      <c r="R150" s="16" t="s">
        <v>52</v>
      </c>
    </row>
  </sheetData>
  <mergeCells count="49">
    <mergeCell ref="E4:R4"/>
    <mergeCell ref="E5:F5"/>
    <mergeCell ref="G5:H5"/>
    <mergeCell ref="I5:J5"/>
    <mergeCell ref="K5:L5"/>
    <mergeCell ref="M5:N5"/>
    <mergeCell ref="O5:P5"/>
    <mergeCell ref="Q5:R5"/>
    <mergeCell ref="A115:A150"/>
    <mergeCell ref="B115:B126"/>
    <mergeCell ref="C115:C120"/>
    <mergeCell ref="C121:C126"/>
    <mergeCell ref="B127:B138"/>
    <mergeCell ref="C127:C132"/>
    <mergeCell ref="C133:C138"/>
    <mergeCell ref="B139:B150"/>
    <mergeCell ref="C139:C144"/>
    <mergeCell ref="C145:C150"/>
    <mergeCell ref="A79:A114"/>
    <mergeCell ref="B79:B90"/>
    <mergeCell ref="C79:C84"/>
    <mergeCell ref="C85:C90"/>
    <mergeCell ref="B91:B102"/>
    <mergeCell ref="C91:C96"/>
    <mergeCell ref="C97:C102"/>
    <mergeCell ref="B103:B114"/>
    <mergeCell ref="C103:C108"/>
    <mergeCell ref="C109:C114"/>
    <mergeCell ref="A43:A78"/>
    <mergeCell ref="B43:B54"/>
    <mergeCell ref="C43:C48"/>
    <mergeCell ref="C49:C54"/>
    <mergeCell ref="B55:B66"/>
    <mergeCell ref="C55:C60"/>
    <mergeCell ref="C61:C66"/>
    <mergeCell ref="B67:B78"/>
    <mergeCell ref="C67:C72"/>
    <mergeCell ref="C73:C78"/>
    <mergeCell ref="D4:D6"/>
    <mergeCell ref="A7:A42"/>
    <mergeCell ref="B7:B18"/>
    <mergeCell ref="C7:C12"/>
    <mergeCell ref="C13:C18"/>
    <mergeCell ref="B19:B30"/>
    <mergeCell ref="C19:C24"/>
    <mergeCell ref="C25:C30"/>
    <mergeCell ref="B31:B42"/>
    <mergeCell ref="C31:C36"/>
    <mergeCell ref="C37:C42"/>
  </mergeCells>
  <pageMargins left="0.7" right="0.7" top="0.75" bottom="0.75" header="0.3" footer="0.3"/>
  <pageSetup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5:R79"/>
  <sheetViews>
    <sheetView showGridLines="0" zoomScale="80" zoomScaleNormal="80" workbookViewId="0">
      <selection activeCell="V65" sqref="V65"/>
    </sheetView>
  </sheetViews>
  <sheetFormatPr defaultColWidth="8.85546875" defaultRowHeight="15" x14ac:dyDescent="0.25"/>
  <cols>
    <col min="1" max="1" width="22.42578125" style="2" customWidth="1"/>
    <col min="2" max="2" width="12.28515625" style="2" bestFit="1" customWidth="1"/>
    <col min="3" max="3" width="12.140625" style="2" customWidth="1"/>
    <col min="4" max="4" width="13.140625" customWidth="1"/>
    <col min="5" max="18" width="9.140625" style="1"/>
  </cols>
  <sheetData>
    <row r="5" spans="1:18" x14ac:dyDescent="0.25">
      <c r="A5" s="7"/>
      <c r="B5" s="7"/>
      <c r="C5" s="7"/>
      <c r="D5" s="3"/>
      <c r="E5" s="96" t="s">
        <v>174</v>
      </c>
      <c r="F5" s="94"/>
      <c r="G5" s="94"/>
      <c r="H5" s="94"/>
      <c r="I5" s="94"/>
      <c r="J5" s="94"/>
      <c r="K5" s="94"/>
      <c r="L5" s="94"/>
      <c r="M5" s="94"/>
      <c r="N5" s="94"/>
      <c r="O5" s="94"/>
      <c r="P5" s="94"/>
      <c r="Q5" s="94"/>
      <c r="R5" s="95"/>
    </row>
    <row r="6" spans="1:18" x14ac:dyDescent="0.25">
      <c r="E6" s="96">
        <v>2008</v>
      </c>
      <c r="F6" s="95"/>
      <c r="G6" s="94">
        <v>2010</v>
      </c>
      <c r="H6" s="94"/>
      <c r="I6" s="96">
        <v>2012</v>
      </c>
      <c r="J6" s="95"/>
      <c r="K6" s="94">
        <v>2014</v>
      </c>
      <c r="L6" s="94"/>
      <c r="M6" s="96">
        <v>2016</v>
      </c>
      <c r="N6" s="95"/>
      <c r="O6" s="94">
        <v>2018</v>
      </c>
      <c r="P6" s="94"/>
      <c r="Q6" s="96">
        <v>2020</v>
      </c>
      <c r="R6" s="95"/>
    </row>
    <row r="7" spans="1:18" x14ac:dyDescent="0.25">
      <c r="A7" s="4"/>
      <c r="B7" s="4"/>
      <c r="C7" s="4"/>
      <c r="D7" s="5"/>
      <c r="E7" s="24" t="s">
        <v>11</v>
      </c>
      <c r="F7" s="16" t="s">
        <v>12</v>
      </c>
      <c r="G7" s="6" t="s">
        <v>11</v>
      </c>
      <c r="H7" s="6" t="s">
        <v>12</v>
      </c>
      <c r="I7" s="24" t="s">
        <v>11</v>
      </c>
      <c r="J7" s="16" t="s">
        <v>12</v>
      </c>
      <c r="K7" s="6" t="s">
        <v>11</v>
      </c>
      <c r="L7" s="6" t="s">
        <v>12</v>
      </c>
      <c r="M7" s="24" t="s">
        <v>11</v>
      </c>
      <c r="N7" s="16" t="s">
        <v>12</v>
      </c>
      <c r="O7" s="6" t="s">
        <v>11</v>
      </c>
      <c r="P7" s="6" t="s">
        <v>12</v>
      </c>
      <c r="Q7" s="24" t="s">
        <v>11</v>
      </c>
      <c r="R7" s="16" t="s">
        <v>12</v>
      </c>
    </row>
    <row r="8" spans="1:18" x14ac:dyDescent="0.25">
      <c r="A8" s="86" t="s">
        <v>5</v>
      </c>
      <c r="B8" s="97" t="s">
        <v>0</v>
      </c>
      <c r="C8" s="89" t="s">
        <v>269</v>
      </c>
      <c r="D8" s="58" t="s">
        <v>3</v>
      </c>
      <c r="E8" s="59" t="s">
        <v>259</v>
      </c>
      <c r="F8" s="60" t="s">
        <v>24</v>
      </c>
      <c r="G8" s="61" t="s">
        <v>312</v>
      </c>
      <c r="H8" s="61" t="s">
        <v>83</v>
      </c>
      <c r="I8" s="59" t="s">
        <v>313</v>
      </c>
      <c r="J8" s="60" t="s">
        <v>37</v>
      </c>
      <c r="K8" s="61" t="s">
        <v>314</v>
      </c>
      <c r="L8" s="61" t="s">
        <v>96</v>
      </c>
      <c r="M8" s="59" t="s">
        <v>185</v>
      </c>
      <c r="N8" s="60" t="s">
        <v>76</v>
      </c>
      <c r="O8" s="61" t="s">
        <v>149</v>
      </c>
      <c r="P8" s="61" t="s">
        <v>24</v>
      </c>
      <c r="Q8" s="59" t="s">
        <v>315</v>
      </c>
      <c r="R8" s="60" t="s">
        <v>53</v>
      </c>
    </row>
    <row r="9" spans="1:18" x14ac:dyDescent="0.25">
      <c r="A9" s="87"/>
      <c r="B9" s="98"/>
      <c r="C9" s="90"/>
      <c r="D9" s="62" t="s">
        <v>4</v>
      </c>
      <c r="E9" s="63" t="s">
        <v>316</v>
      </c>
      <c r="F9" s="64" t="s">
        <v>24</v>
      </c>
      <c r="G9" s="65" t="s">
        <v>317</v>
      </c>
      <c r="H9" s="65" t="s">
        <v>83</v>
      </c>
      <c r="I9" s="63" t="s">
        <v>318</v>
      </c>
      <c r="J9" s="64" t="s">
        <v>37</v>
      </c>
      <c r="K9" s="65" t="s">
        <v>242</v>
      </c>
      <c r="L9" s="65" t="s">
        <v>96</v>
      </c>
      <c r="M9" s="63" t="s">
        <v>188</v>
      </c>
      <c r="N9" s="64" t="s">
        <v>76</v>
      </c>
      <c r="O9" s="65" t="s">
        <v>203</v>
      </c>
      <c r="P9" s="65" t="s">
        <v>24</v>
      </c>
      <c r="Q9" s="63" t="s">
        <v>287</v>
      </c>
      <c r="R9" s="64" t="s">
        <v>53</v>
      </c>
    </row>
    <row r="10" spans="1:18" s="2" customFormat="1" x14ac:dyDescent="0.25">
      <c r="A10" s="87"/>
      <c r="B10" s="98"/>
      <c r="C10" s="90"/>
      <c r="D10" s="66" t="str">
        <f>"Total"</f>
        <v>Total</v>
      </c>
      <c r="E10" s="67" t="s">
        <v>51</v>
      </c>
      <c r="F10" s="68" t="s">
        <v>52</v>
      </c>
      <c r="G10" s="69" t="s">
        <v>51</v>
      </c>
      <c r="H10" s="69" t="s">
        <v>52</v>
      </c>
      <c r="I10" s="67" t="s">
        <v>51</v>
      </c>
      <c r="J10" s="68" t="s">
        <v>52</v>
      </c>
      <c r="K10" s="69" t="s">
        <v>51</v>
      </c>
      <c r="L10" s="69" t="s">
        <v>52</v>
      </c>
      <c r="M10" s="67" t="s">
        <v>51</v>
      </c>
      <c r="N10" s="68" t="s">
        <v>52</v>
      </c>
      <c r="O10" s="69" t="s">
        <v>51</v>
      </c>
      <c r="P10" s="69" t="s">
        <v>52</v>
      </c>
      <c r="Q10" s="67" t="s">
        <v>51</v>
      </c>
      <c r="R10" s="68" t="s">
        <v>52</v>
      </c>
    </row>
    <row r="11" spans="1:18" x14ac:dyDescent="0.25">
      <c r="A11" s="87"/>
      <c r="B11" s="98"/>
      <c r="C11" s="100" t="s">
        <v>270</v>
      </c>
      <c r="D11" s="51" t="s">
        <v>3</v>
      </c>
      <c r="E11" s="55" t="s">
        <v>268</v>
      </c>
      <c r="F11" s="48" t="s">
        <v>57</v>
      </c>
      <c r="G11" s="47" t="s">
        <v>212</v>
      </c>
      <c r="H11" s="47" t="s">
        <v>54</v>
      </c>
      <c r="I11" s="55" t="s">
        <v>192</v>
      </c>
      <c r="J11" s="48" t="s">
        <v>57</v>
      </c>
      <c r="K11" s="47" t="s">
        <v>159</v>
      </c>
      <c r="L11" s="47" t="s">
        <v>54</v>
      </c>
      <c r="M11" s="55" t="s">
        <v>177</v>
      </c>
      <c r="N11" s="48" t="s">
        <v>54</v>
      </c>
      <c r="O11" s="47" t="s">
        <v>106</v>
      </c>
      <c r="P11" s="47" t="s">
        <v>34</v>
      </c>
      <c r="Q11" s="55" t="s">
        <v>93</v>
      </c>
      <c r="R11" s="48" t="s">
        <v>62</v>
      </c>
    </row>
    <row r="12" spans="1:18" x14ac:dyDescent="0.25">
      <c r="A12" s="87"/>
      <c r="B12" s="98"/>
      <c r="C12" s="92"/>
      <c r="D12" s="52" t="s">
        <v>4</v>
      </c>
      <c r="E12" s="56" t="s">
        <v>218</v>
      </c>
      <c r="F12" s="49" t="s">
        <v>57</v>
      </c>
      <c r="G12" s="1" t="s">
        <v>214</v>
      </c>
      <c r="H12" s="1" t="s">
        <v>54</v>
      </c>
      <c r="I12" s="56" t="s">
        <v>190</v>
      </c>
      <c r="J12" s="49" t="s">
        <v>57</v>
      </c>
      <c r="K12" s="1" t="s">
        <v>179</v>
      </c>
      <c r="L12" s="1" t="s">
        <v>54</v>
      </c>
      <c r="M12" s="56" t="s">
        <v>180</v>
      </c>
      <c r="N12" s="49" t="s">
        <v>54</v>
      </c>
      <c r="O12" s="1" t="s">
        <v>201</v>
      </c>
      <c r="P12" s="1" t="s">
        <v>34</v>
      </c>
      <c r="Q12" s="56" t="s">
        <v>135</v>
      </c>
      <c r="R12" s="49" t="s">
        <v>62</v>
      </c>
    </row>
    <row r="13" spans="1:18" s="2" customFormat="1" x14ac:dyDescent="0.25">
      <c r="A13" s="87"/>
      <c r="B13" s="99"/>
      <c r="C13" s="93"/>
      <c r="D13" s="54" t="str">
        <f t="shared" ref="D13" si="0">"Total"</f>
        <v>Total</v>
      </c>
      <c r="E13" s="24" t="s">
        <v>51</v>
      </c>
      <c r="F13" s="16" t="s">
        <v>52</v>
      </c>
      <c r="G13" s="6" t="s">
        <v>51</v>
      </c>
      <c r="H13" s="6" t="s">
        <v>52</v>
      </c>
      <c r="I13" s="24" t="s">
        <v>51</v>
      </c>
      <c r="J13" s="16" t="s">
        <v>52</v>
      </c>
      <c r="K13" s="6" t="s">
        <v>51</v>
      </c>
      <c r="L13" s="6" t="s">
        <v>52</v>
      </c>
      <c r="M13" s="24" t="s">
        <v>51</v>
      </c>
      <c r="N13" s="16" t="s">
        <v>52</v>
      </c>
      <c r="O13" s="6" t="s">
        <v>51</v>
      </c>
      <c r="P13" s="6" t="s">
        <v>52</v>
      </c>
      <c r="Q13" s="24" t="s">
        <v>51</v>
      </c>
      <c r="R13" s="16" t="s">
        <v>52</v>
      </c>
    </row>
    <row r="14" spans="1:18" x14ac:dyDescent="0.25">
      <c r="A14" s="87"/>
      <c r="B14" s="98" t="s">
        <v>1</v>
      </c>
      <c r="C14" s="89" t="s">
        <v>269</v>
      </c>
      <c r="D14" s="58" t="s">
        <v>3</v>
      </c>
      <c r="E14" s="59" t="s">
        <v>72</v>
      </c>
      <c r="F14" s="60" t="s">
        <v>44</v>
      </c>
      <c r="G14" s="61" t="s">
        <v>216</v>
      </c>
      <c r="H14" s="61" t="s">
        <v>76</v>
      </c>
      <c r="I14" s="59" t="s">
        <v>312</v>
      </c>
      <c r="J14" s="60" t="s">
        <v>24</v>
      </c>
      <c r="K14" s="61" t="s">
        <v>319</v>
      </c>
      <c r="L14" s="61" t="s">
        <v>17</v>
      </c>
      <c r="M14" s="59" t="s">
        <v>184</v>
      </c>
      <c r="N14" s="60" t="s">
        <v>107</v>
      </c>
      <c r="O14" s="61" t="s">
        <v>258</v>
      </c>
      <c r="P14" s="61" t="s">
        <v>40</v>
      </c>
      <c r="Q14" s="59" t="s">
        <v>152</v>
      </c>
      <c r="R14" s="60" t="s">
        <v>47</v>
      </c>
    </row>
    <row r="15" spans="1:18" x14ac:dyDescent="0.25">
      <c r="A15" s="87"/>
      <c r="B15" s="98"/>
      <c r="C15" s="90"/>
      <c r="D15" s="62" t="s">
        <v>4</v>
      </c>
      <c r="E15" s="63" t="s">
        <v>204</v>
      </c>
      <c r="F15" s="64" t="s">
        <v>44</v>
      </c>
      <c r="G15" s="65" t="s">
        <v>215</v>
      </c>
      <c r="H15" s="65" t="s">
        <v>76</v>
      </c>
      <c r="I15" s="63" t="s">
        <v>317</v>
      </c>
      <c r="J15" s="64" t="s">
        <v>24</v>
      </c>
      <c r="K15" s="65" t="s">
        <v>320</v>
      </c>
      <c r="L15" s="65" t="s">
        <v>17</v>
      </c>
      <c r="M15" s="63" t="s">
        <v>187</v>
      </c>
      <c r="N15" s="64" t="s">
        <v>107</v>
      </c>
      <c r="O15" s="65" t="s">
        <v>56</v>
      </c>
      <c r="P15" s="65" t="s">
        <v>40</v>
      </c>
      <c r="Q15" s="63" t="s">
        <v>170</v>
      </c>
      <c r="R15" s="64" t="s">
        <v>47</v>
      </c>
    </row>
    <row r="16" spans="1:18" s="2" customFormat="1" x14ac:dyDescent="0.25">
      <c r="A16" s="87"/>
      <c r="B16" s="98"/>
      <c r="C16" s="91"/>
      <c r="D16" s="70" t="str">
        <f t="shared" ref="D16" si="1">"Total"</f>
        <v>Total</v>
      </c>
      <c r="E16" s="71" t="s">
        <v>51</v>
      </c>
      <c r="F16" s="72" t="s">
        <v>52</v>
      </c>
      <c r="G16" s="73" t="s">
        <v>51</v>
      </c>
      <c r="H16" s="73" t="s">
        <v>52</v>
      </c>
      <c r="I16" s="71" t="s">
        <v>51</v>
      </c>
      <c r="J16" s="72" t="s">
        <v>52</v>
      </c>
      <c r="K16" s="73" t="s">
        <v>51</v>
      </c>
      <c r="L16" s="73" t="s">
        <v>52</v>
      </c>
      <c r="M16" s="71" t="s">
        <v>51</v>
      </c>
      <c r="N16" s="72" t="s">
        <v>52</v>
      </c>
      <c r="O16" s="73" t="s">
        <v>51</v>
      </c>
      <c r="P16" s="73" t="s">
        <v>52</v>
      </c>
      <c r="Q16" s="71" t="s">
        <v>51</v>
      </c>
      <c r="R16" s="72" t="s">
        <v>52</v>
      </c>
    </row>
    <row r="17" spans="1:18" x14ac:dyDescent="0.25">
      <c r="A17" s="87"/>
      <c r="B17" s="98"/>
      <c r="C17" s="92" t="s">
        <v>270</v>
      </c>
      <c r="D17" s="52" t="s">
        <v>3</v>
      </c>
      <c r="E17" s="56" t="s">
        <v>321</v>
      </c>
      <c r="F17" s="49" t="s">
        <v>34</v>
      </c>
      <c r="G17" s="1" t="s">
        <v>244</v>
      </c>
      <c r="H17" s="1" t="s">
        <v>55</v>
      </c>
      <c r="I17" s="56" t="s">
        <v>120</v>
      </c>
      <c r="J17" s="49" t="s">
        <v>34</v>
      </c>
      <c r="K17" s="1" t="s">
        <v>249</v>
      </c>
      <c r="L17" s="1" t="s">
        <v>55</v>
      </c>
      <c r="M17" s="56" t="s">
        <v>177</v>
      </c>
      <c r="N17" s="49" t="s">
        <v>54</v>
      </c>
      <c r="O17" s="1" t="s">
        <v>322</v>
      </c>
      <c r="P17" s="1" t="s">
        <v>34</v>
      </c>
      <c r="Q17" s="56" t="s">
        <v>228</v>
      </c>
      <c r="R17" s="49" t="s">
        <v>62</v>
      </c>
    </row>
    <row r="18" spans="1:18" x14ac:dyDescent="0.25">
      <c r="A18" s="87"/>
      <c r="B18" s="98"/>
      <c r="C18" s="92"/>
      <c r="D18" s="52" t="s">
        <v>4</v>
      </c>
      <c r="E18" s="56" t="s">
        <v>323</v>
      </c>
      <c r="F18" s="49" t="s">
        <v>34</v>
      </c>
      <c r="G18" s="1" t="s">
        <v>247</v>
      </c>
      <c r="H18" s="1" t="s">
        <v>55</v>
      </c>
      <c r="I18" s="56" t="s">
        <v>105</v>
      </c>
      <c r="J18" s="49" t="s">
        <v>34</v>
      </c>
      <c r="K18" s="1" t="s">
        <v>250</v>
      </c>
      <c r="L18" s="1" t="s">
        <v>55</v>
      </c>
      <c r="M18" s="56" t="s">
        <v>180</v>
      </c>
      <c r="N18" s="49" t="s">
        <v>54</v>
      </c>
      <c r="O18" s="1" t="s">
        <v>324</v>
      </c>
      <c r="P18" s="1" t="s">
        <v>34</v>
      </c>
      <c r="Q18" s="56" t="s">
        <v>217</v>
      </c>
      <c r="R18" s="49" t="s">
        <v>62</v>
      </c>
    </row>
    <row r="19" spans="1:18" s="2" customFormat="1" x14ac:dyDescent="0.25">
      <c r="A19" s="87"/>
      <c r="B19" s="98"/>
      <c r="C19" s="92"/>
      <c r="D19" s="53" t="str">
        <f t="shared" ref="D19" si="2">"Total"</f>
        <v>Total</v>
      </c>
      <c r="E19" s="57" t="s">
        <v>51</v>
      </c>
      <c r="F19" s="50" t="s">
        <v>52</v>
      </c>
      <c r="G19" s="12" t="s">
        <v>51</v>
      </c>
      <c r="H19" s="12" t="s">
        <v>52</v>
      </c>
      <c r="I19" s="57" t="s">
        <v>51</v>
      </c>
      <c r="J19" s="50" t="s">
        <v>52</v>
      </c>
      <c r="K19" s="12" t="s">
        <v>51</v>
      </c>
      <c r="L19" s="12" t="s">
        <v>52</v>
      </c>
      <c r="M19" s="57" t="s">
        <v>51</v>
      </c>
      <c r="N19" s="50" t="s">
        <v>52</v>
      </c>
      <c r="O19" s="12" t="s">
        <v>51</v>
      </c>
      <c r="P19" s="12" t="s">
        <v>52</v>
      </c>
      <c r="Q19" s="57" t="s">
        <v>51</v>
      </c>
      <c r="R19" s="50" t="s">
        <v>52</v>
      </c>
    </row>
    <row r="20" spans="1:18" x14ac:dyDescent="0.25">
      <c r="A20" s="87"/>
      <c r="B20" s="97" t="s">
        <v>2</v>
      </c>
      <c r="C20" s="89" t="s">
        <v>269</v>
      </c>
      <c r="D20" s="58" t="s">
        <v>3</v>
      </c>
      <c r="E20" s="59" t="s">
        <v>325</v>
      </c>
      <c r="F20" s="60" t="s">
        <v>69</v>
      </c>
      <c r="G20" s="61" t="s">
        <v>326</v>
      </c>
      <c r="H20" s="61" t="s">
        <v>37</v>
      </c>
      <c r="I20" s="59" t="s">
        <v>161</v>
      </c>
      <c r="J20" s="60" t="s">
        <v>71</v>
      </c>
      <c r="K20" s="61" t="s">
        <v>161</v>
      </c>
      <c r="L20" s="61" t="s">
        <v>85</v>
      </c>
      <c r="M20" s="59" t="s">
        <v>299</v>
      </c>
      <c r="N20" s="60" t="s">
        <v>67</v>
      </c>
      <c r="O20" s="61" t="s">
        <v>91</v>
      </c>
      <c r="P20" s="61" t="s">
        <v>83</v>
      </c>
      <c r="Q20" s="59" t="s">
        <v>327</v>
      </c>
      <c r="R20" s="60" t="s">
        <v>81</v>
      </c>
    </row>
    <row r="21" spans="1:18" x14ac:dyDescent="0.25">
      <c r="A21" s="87"/>
      <c r="B21" s="98"/>
      <c r="C21" s="90"/>
      <c r="D21" s="62" t="s">
        <v>4</v>
      </c>
      <c r="E21" s="63" t="s">
        <v>328</v>
      </c>
      <c r="F21" s="64" t="s">
        <v>69</v>
      </c>
      <c r="G21" s="65" t="s">
        <v>329</v>
      </c>
      <c r="H21" s="65" t="s">
        <v>37</v>
      </c>
      <c r="I21" s="63" t="s">
        <v>330</v>
      </c>
      <c r="J21" s="64" t="s">
        <v>71</v>
      </c>
      <c r="K21" s="65" t="s">
        <v>330</v>
      </c>
      <c r="L21" s="65" t="s">
        <v>85</v>
      </c>
      <c r="M21" s="63" t="s">
        <v>331</v>
      </c>
      <c r="N21" s="64" t="s">
        <v>67</v>
      </c>
      <c r="O21" s="65" t="s">
        <v>332</v>
      </c>
      <c r="P21" s="65" t="s">
        <v>83</v>
      </c>
      <c r="Q21" s="63" t="s">
        <v>100</v>
      </c>
      <c r="R21" s="64" t="s">
        <v>81</v>
      </c>
    </row>
    <row r="22" spans="1:18" s="2" customFormat="1" x14ac:dyDescent="0.25">
      <c r="A22" s="87"/>
      <c r="B22" s="98"/>
      <c r="C22" s="91"/>
      <c r="D22" s="70" t="str">
        <f t="shared" ref="D22" si="3">"Total"</f>
        <v>Total</v>
      </c>
      <c r="E22" s="71" t="s">
        <v>51</v>
      </c>
      <c r="F22" s="72" t="s">
        <v>52</v>
      </c>
      <c r="G22" s="73" t="s">
        <v>51</v>
      </c>
      <c r="H22" s="73" t="s">
        <v>52</v>
      </c>
      <c r="I22" s="71" t="s">
        <v>51</v>
      </c>
      <c r="J22" s="72" t="s">
        <v>52</v>
      </c>
      <c r="K22" s="73" t="s">
        <v>51</v>
      </c>
      <c r="L22" s="73" t="s">
        <v>52</v>
      </c>
      <c r="M22" s="71" t="s">
        <v>51</v>
      </c>
      <c r="N22" s="72" t="s">
        <v>52</v>
      </c>
      <c r="O22" s="73" t="s">
        <v>51</v>
      </c>
      <c r="P22" s="73" t="s">
        <v>52</v>
      </c>
      <c r="Q22" s="71" t="s">
        <v>51</v>
      </c>
      <c r="R22" s="72" t="s">
        <v>52</v>
      </c>
    </row>
    <row r="23" spans="1:18" x14ac:dyDescent="0.25">
      <c r="A23" s="87"/>
      <c r="B23" s="98"/>
      <c r="C23" s="92" t="s">
        <v>270</v>
      </c>
      <c r="D23" s="52" t="s">
        <v>3</v>
      </c>
      <c r="E23" s="56" t="s">
        <v>333</v>
      </c>
      <c r="F23" s="49" t="s">
        <v>34</v>
      </c>
      <c r="G23" s="1" t="s">
        <v>249</v>
      </c>
      <c r="H23" s="1" t="s">
        <v>34</v>
      </c>
      <c r="I23" s="56" t="s">
        <v>334</v>
      </c>
      <c r="J23" s="49" t="s">
        <v>57</v>
      </c>
      <c r="K23" s="1" t="s">
        <v>212</v>
      </c>
      <c r="L23" s="1" t="s">
        <v>54</v>
      </c>
      <c r="M23" s="56" t="s">
        <v>335</v>
      </c>
      <c r="N23" s="49" t="s">
        <v>34</v>
      </c>
      <c r="O23" s="1" t="s">
        <v>245</v>
      </c>
      <c r="P23" s="1" t="s">
        <v>57</v>
      </c>
      <c r="Q23" s="56" t="s">
        <v>213</v>
      </c>
      <c r="R23" s="49" t="s">
        <v>62</v>
      </c>
    </row>
    <row r="24" spans="1:18" x14ac:dyDescent="0.25">
      <c r="A24" s="87"/>
      <c r="B24" s="98"/>
      <c r="C24" s="92"/>
      <c r="D24" s="52" t="s">
        <v>4</v>
      </c>
      <c r="E24" s="56" t="s">
        <v>253</v>
      </c>
      <c r="F24" s="49" t="s">
        <v>34</v>
      </c>
      <c r="G24" s="1" t="s">
        <v>250</v>
      </c>
      <c r="H24" s="1" t="s">
        <v>34</v>
      </c>
      <c r="I24" s="56" t="s">
        <v>183</v>
      </c>
      <c r="J24" s="49" t="s">
        <v>57</v>
      </c>
      <c r="K24" s="1" t="s">
        <v>214</v>
      </c>
      <c r="L24" s="1" t="s">
        <v>54</v>
      </c>
      <c r="M24" s="56" t="s">
        <v>336</v>
      </c>
      <c r="N24" s="49" t="s">
        <v>34</v>
      </c>
      <c r="O24" s="1" t="s">
        <v>153</v>
      </c>
      <c r="P24" s="1" t="s">
        <v>57</v>
      </c>
      <c r="Q24" s="56" t="s">
        <v>211</v>
      </c>
      <c r="R24" s="49" t="s">
        <v>62</v>
      </c>
    </row>
    <row r="25" spans="1:18" s="2" customFormat="1" x14ac:dyDescent="0.25">
      <c r="A25" s="88"/>
      <c r="B25" s="99"/>
      <c r="C25" s="93"/>
      <c r="D25" s="54" t="str">
        <f t="shared" ref="D25" si="4">"Total"</f>
        <v>Total</v>
      </c>
      <c r="E25" s="24" t="s">
        <v>51</v>
      </c>
      <c r="F25" s="16" t="s">
        <v>52</v>
      </c>
      <c r="G25" s="6" t="s">
        <v>51</v>
      </c>
      <c r="H25" s="6" t="s">
        <v>52</v>
      </c>
      <c r="I25" s="24" t="s">
        <v>51</v>
      </c>
      <c r="J25" s="16" t="s">
        <v>52</v>
      </c>
      <c r="K25" s="6" t="s">
        <v>51</v>
      </c>
      <c r="L25" s="6" t="s">
        <v>52</v>
      </c>
      <c r="M25" s="24" t="s">
        <v>51</v>
      </c>
      <c r="N25" s="16" t="s">
        <v>52</v>
      </c>
      <c r="O25" s="6" t="s">
        <v>51</v>
      </c>
      <c r="P25" s="6" t="s">
        <v>52</v>
      </c>
      <c r="Q25" s="24" t="s">
        <v>51</v>
      </c>
      <c r="R25" s="16" t="s">
        <v>52</v>
      </c>
    </row>
    <row r="26" spans="1:18" ht="15" customHeight="1" x14ac:dyDescent="0.25">
      <c r="A26" s="86" t="s">
        <v>104</v>
      </c>
      <c r="B26" s="97" t="s">
        <v>0</v>
      </c>
      <c r="C26" s="101" t="s">
        <v>269</v>
      </c>
      <c r="D26" s="58" t="s">
        <v>3</v>
      </c>
      <c r="E26" s="59" t="s">
        <v>337</v>
      </c>
      <c r="F26" s="60" t="s">
        <v>19</v>
      </c>
      <c r="G26" s="61" t="s">
        <v>248</v>
      </c>
      <c r="H26" s="61" t="s">
        <v>16</v>
      </c>
      <c r="I26" s="59" t="s">
        <v>288</v>
      </c>
      <c r="J26" s="60" t="s">
        <v>131</v>
      </c>
      <c r="K26" s="61" t="s">
        <v>73</v>
      </c>
      <c r="L26" s="61" t="s">
        <v>20</v>
      </c>
      <c r="M26" s="59" t="s">
        <v>136</v>
      </c>
      <c r="N26" s="60" t="s">
        <v>27</v>
      </c>
      <c r="O26" s="61" t="s">
        <v>285</v>
      </c>
      <c r="P26" s="61" t="s">
        <v>29</v>
      </c>
      <c r="Q26" s="59" t="s">
        <v>194</v>
      </c>
      <c r="R26" s="60" t="s">
        <v>113</v>
      </c>
    </row>
    <row r="27" spans="1:18" x14ac:dyDescent="0.25">
      <c r="A27" s="87"/>
      <c r="B27" s="98"/>
      <c r="C27" s="102"/>
      <c r="D27" s="62" t="s">
        <v>4</v>
      </c>
      <c r="E27" s="63" t="s">
        <v>338</v>
      </c>
      <c r="F27" s="64" t="s">
        <v>19</v>
      </c>
      <c r="G27" s="65" t="s">
        <v>339</v>
      </c>
      <c r="H27" s="65" t="s">
        <v>16</v>
      </c>
      <c r="I27" s="63" t="s">
        <v>340</v>
      </c>
      <c r="J27" s="64" t="s">
        <v>131</v>
      </c>
      <c r="K27" s="65" t="s">
        <v>154</v>
      </c>
      <c r="L27" s="65" t="s">
        <v>20</v>
      </c>
      <c r="M27" s="63" t="s">
        <v>137</v>
      </c>
      <c r="N27" s="64" t="s">
        <v>27</v>
      </c>
      <c r="O27" s="65" t="s">
        <v>341</v>
      </c>
      <c r="P27" s="65" t="s">
        <v>29</v>
      </c>
      <c r="Q27" s="63" t="s">
        <v>168</v>
      </c>
      <c r="R27" s="64" t="s">
        <v>113</v>
      </c>
    </row>
    <row r="28" spans="1:18" x14ac:dyDescent="0.25">
      <c r="A28" s="87"/>
      <c r="B28" s="98"/>
      <c r="C28" s="103"/>
      <c r="D28" s="70" t="str">
        <f t="shared" ref="D28" si="5">"Total"</f>
        <v>Total</v>
      </c>
      <c r="E28" s="71" t="s">
        <v>51</v>
      </c>
      <c r="F28" s="72" t="s">
        <v>52</v>
      </c>
      <c r="G28" s="73" t="s">
        <v>51</v>
      </c>
      <c r="H28" s="73" t="s">
        <v>52</v>
      </c>
      <c r="I28" s="71" t="s">
        <v>51</v>
      </c>
      <c r="J28" s="72" t="s">
        <v>52</v>
      </c>
      <c r="K28" s="73" t="s">
        <v>51</v>
      </c>
      <c r="L28" s="73" t="s">
        <v>52</v>
      </c>
      <c r="M28" s="71" t="s">
        <v>51</v>
      </c>
      <c r="N28" s="72" t="s">
        <v>52</v>
      </c>
      <c r="O28" s="73" t="s">
        <v>51</v>
      </c>
      <c r="P28" s="73" t="s">
        <v>52</v>
      </c>
      <c r="Q28" s="71" t="s">
        <v>51</v>
      </c>
      <c r="R28" s="72" t="s">
        <v>52</v>
      </c>
    </row>
    <row r="29" spans="1:18" x14ac:dyDescent="0.25">
      <c r="A29" s="87"/>
      <c r="B29" s="98"/>
      <c r="C29" s="104" t="s">
        <v>270</v>
      </c>
      <c r="D29" s="52" t="s">
        <v>3</v>
      </c>
      <c r="E29" s="56" t="s">
        <v>205</v>
      </c>
      <c r="F29" s="49" t="s">
        <v>54</v>
      </c>
      <c r="G29" s="1" t="s">
        <v>160</v>
      </c>
      <c r="H29" s="1" t="s">
        <v>42</v>
      </c>
      <c r="I29" s="56" t="s">
        <v>200</v>
      </c>
      <c r="J29" s="49" t="s">
        <v>34</v>
      </c>
      <c r="K29" s="1" t="s">
        <v>198</v>
      </c>
      <c r="L29" s="1" t="s">
        <v>34</v>
      </c>
      <c r="M29" s="56" t="s">
        <v>181</v>
      </c>
      <c r="N29" s="49" t="s">
        <v>57</v>
      </c>
      <c r="O29" s="1" t="s">
        <v>164</v>
      </c>
      <c r="P29" s="1" t="s">
        <v>55</v>
      </c>
      <c r="Q29" s="56" t="s">
        <v>190</v>
      </c>
      <c r="R29" s="49" t="s">
        <v>62</v>
      </c>
    </row>
    <row r="30" spans="1:18" x14ac:dyDescent="0.25">
      <c r="A30" s="87"/>
      <c r="B30" s="98"/>
      <c r="C30" s="104"/>
      <c r="D30" s="52" t="s">
        <v>4</v>
      </c>
      <c r="E30" s="56" t="s">
        <v>205</v>
      </c>
      <c r="F30" s="49" t="s">
        <v>54</v>
      </c>
      <c r="G30" s="1" t="s">
        <v>181</v>
      </c>
      <c r="H30" s="1" t="s">
        <v>42</v>
      </c>
      <c r="I30" s="56" t="s">
        <v>202</v>
      </c>
      <c r="J30" s="49" t="s">
        <v>34</v>
      </c>
      <c r="K30" s="1" t="s">
        <v>342</v>
      </c>
      <c r="L30" s="1" t="s">
        <v>34</v>
      </c>
      <c r="M30" s="56" t="s">
        <v>160</v>
      </c>
      <c r="N30" s="49" t="s">
        <v>57</v>
      </c>
      <c r="O30" s="1" t="s">
        <v>195</v>
      </c>
      <c r="P30" s="1" t="s">
        <v>55</v>
      </c>
      <c r="Q30" s="56" t="s">
        <v>192</v>
      </c>
      <c r="R30" s="49" t="s">
        <v>62</v>
      </c>
    </row>
    <row r="31" spans="1:18" x14ac:dyDescent="0.25">
      <c r="A31" s="87"/>
      <c r="B31" s="99"/>
      <c r="C31" s="105"/>
      <c r="D31" s="54" t="str">
        <f t="shared" ref="D31" si="6">"Total"</f>
        <v>Total</v>
      </c>
      <c r="E31" s="24" t="s">
        <v>51</v>
      </c>
      <c r="F31" s="16" t="s">
        <v>52</v>
      </c>
      <c r="G31" s="6" t="s">
        <v>51</v>
      </c>
      <c r="H31" s="6" t="s">
        <v>52</v>
      </c>
      <c r="I31" s="24" t="s">
        <v>51</v>
      </c>
      <c r="J31" s="16" t="s">
        <v>52</v>
      </c>
      <c r="K31" s="6" t="s">
        <v>51</v>
      </c>
      <c r="L31" s="6" t="s">
        <v>52</v>
      </c>
      <c r="M31" s="24" t="s">
        <v>51</v>
      </c>
      <c r="N31" s="16" t="s">
        <v>52</v>
      </c>
      <c r="O31" s="6" t="s">
        <v>51</v>
      </c>
      <c r="P31" s="6" t="s">
        <v>52</v>
      </c>
      <c r="Q31" s="24" t="s">
        <v>51</v>
      </c>
      <c r="R31" s="16" t="s">
        <v>52</v>
      </c>
    </row>
    <row r="32" spans="1:18" x14ac:dyDescent="0.25">
      <c r="A32" s="87"/>
      <c r="B32" s="98" t="s">
        <v>1</v>
      </c>
      <c r="C32" s="101" t="s">
        <v>269</v>
      </c>
      <c r="D32" s="58" t="s">
        <v>3</v>
      </c>
      <c r="E32" s="59" t="s">
        <v>277</v>
      </c>
      <c r="F32" s="60" t="s">
        <v>16</v>
      </c>
      <c r="G32" s="61" t="s">
        <v>315</v>
      </c>
      <c r="H32" s="61" t="s">
        <v>31</v>
      </c>
      <c r="I32" s="59" t="s">
        <v>343</v>
      </c>
      <c r="J32" s="60" t="s">
        <v>110</v>
      </c>
      <c r="K32" s="61" t="s">
        <v>23</v>
      </c>
      <c r="L32" s="61" t="s">
        <v>110</v>
      </c>
      <c r="M32" s="59" t="s">
        <v>184</v>
      </c>
      <c r="N32" s="60" t="s">
        <v>83</v>
      </c>
      <c r="O32" s="61" t="s">
        <v>344</v>
      </c>
      <c r="P32" s="61" t="s">
        <v>27</v>
      </c>
      <c r="Q32" s="59" t="s">
        <v>72</v>
      </c>
      <c r="R32" s="60" t="s">
        <v>84</v>
      </c>
    </row>
    <row r="33" spans="1:18" x14ac:dyDescent="0.25">
      <c r="A33" s="87"/>
      <c r="B33" s="98"/>
      <c r="C33" s="102"/>
      <c r="D33" s="62" t="s">
        <v>4</v>
      </c>
      <c r="E33" s="63" t="s">
        <v>279</v>
      </c>
      <c r="F33" s="64" t="s">
        <v>16</v>
      </c>
      <c r="G33" s="65" t="s">
        <v>287</v>
      </c>
      <c r="H33" s="65" t="s">
        <v>31</v>
      </c>
      <c r="I33" s="63" t="s">
        <v>345</v>
      </c>
      <c r="J33" s="64" t="s">
        <v>110</v>
      </c>
      <c r="K33" s="65" t="s">
        <v>118</v>
      </c>
      <c r="L33" s="65" t="s">
        <v>110</v>
      </c>
      <c r="M33" s="63" t="s">
        <v>187</v>
      </c>
      <c r="N33" s="64" t="s">
        <v>83</v>
      </c>
      <c r="O33" s="65" t="s">
        <v>346</v>
      </c>
      <c r="P33" s="65" t="s">
        <v>27</v>
      </c>
      <c r="Q33" s="63" t="s">
        <v>204</v>
      </c>
      <c r="R33" s="64" t="s">
        <v>84</v>
      </c>
    </row>
    <row r="34" spans="1:18" x14ac:dyDescent="0.25">
      <c r="A34" s="87"/>
      <c r="B34" s="98"/>
      <c r="C34" s="103"/>
      <c r="D34" s="70" t="str">
        <f t="shared" ref="D34" si="7">"Total"</f>
        <v>Total</v>
      </c>
      <c r="E34" s="71" t="s">
        <v>51</v>
      </c>
      <c r="F34" s="72" t="s">
        <v>52</v>
      </c>
      <c r="G34" s="73" t="s">
        <v>51</v>
      </c>
      <c r="H34" s="73" t="s">
        <v>52</v>
      </c>
      <c r="I34" s="71" t="s">
        <v>51</v>
      </c>
      <c r="J34" s="72" t="s">
        <v>52</v>
      </c>
      <c r="K34" s="73" t="s">
        <v>51</v>
      </c>
      <c r="L34" s="73" t="s">
        <v>52</v>
      </c>
      <c r="M34" s="71" t="s">
        <v>51</v>
      </c>
      <c r="N34" s="72" t="s">
        <v>52</v>
      </c>
      <c r="O34" s="73" t="s">
        <v>51</v>
      </c>
      <c r="P34" s="73" t="s">
        <v>52</v>
      </c>
      <c r="Q34" s="71" t="s">
        <v>51</v>
      </c>
      <c r="R34" s="72" t="s">
        <v>52</v>
      </c>
    </row>
    <row r="35" spans="1:18" x14ac:dyDescent="0.25">
      <c r="A35" s="87"/>
      <c r="B35" s="98"/>
      <c r="C35" s="104" t="s">
        <v>270</v>
      </c>
      <c r="D35" s="52" t="s">
        <v>3</v>
      </c>
      <c r="E35" s="56" t="s">
        <v>180</v>
      </c>
      <c r="F35" s="49" t="s">
        <v>54</v>
      </c>
      <c r="G35" s="1" t="s">
        <v>195</v>
      </c>
      <c r="H35" s="1" t="s">
        <v>42</v>
      </c>
      <c r="I35" s="56" t="s">
        <v>120</v>
      </c>
      <c r="J35" s="49" t="s">
        <v>34</v>
      </c>
      <c r="K35" s="1" t="s">
        <v>92</v>
      </c>
      <c r="L35" s="1" t="s">
        <v>54</v>
      </c>
      <c r="M35" s="56" t="s">
        <v>105</v>
      </c>
      <c r="N35" s="49" t="s">
        <v>34</v>
      </c>
      <c r="O35" s="1" t="s">
        <v>255</v>
      </c>
      <c r="P35" s="1" t="s">
        <v>54</v>
      </c>
      <c r="Q35" s="56" t="s">
        <v>202</v>
      </c>
      <c r="R35" s="49" t="s">
        <v>62</v>
      </c>
    </row>
    <row r="36" spans="1:18" x14ac:dyDescent="0.25">
      <c r="A36" s="87"/>
      <c r="B36" s="98"/>
      <c r="C36" s="104"/>
      <c r="D36" s="52" t="s">
        <v>4</v>
      </c>
      <c r="E36" s="56" t="s">
        <v>177</v>
      </c>
      <c r="F36" s="49" t="s">
        <v>54</v>
      </c>
      <c r="G36" s="1" t="s">
        <v>164</v>
      </c>
      <c r="H36" s="1" t="s">
        <v>42</v>
      </c>
      <c r="I36" s="56" t="s">
        <v>105</v>
      </c>
      <c r="J36" s="49" t="s">
        <v>34</v>
      </c>
      <c r="K36" s="1" t="s">
        <v>163</v>
      </c>
      <c r="L36" s="1" t="s">
        <v>54</v>
      </c>
      <c r="M36" s="56" t="s">
        <v>120</v>
      </c>
      <c r="N36" s="49" t="s">
        <v>34</v>
      </c>
      <c r="O36" s="1" t="s">
        <v>256</v>
      </c>
      <c r="P36" s="1" t="s">
        <v>54</v>
      </c>
      <c r="Q36" s="56" t="s">
        <v>200</v>
      </c>
      <c r="R36" s="49" t="s">
        <v>62</v>
      </c>
    </row>
    <row r="37" spans="1:18" x14ac:dyDescent="0.25">
      <c r="A37" s="87"/>
      <c r="B37" s="98"/>
      <c r="C37" s="104"/>
      <c r="D37" s="53" t="str">
        <f t="shared" ref="D37" si="8">"Total"</f>
        <v>Total</v>
      </c>
      <c r="E37" s="57" t="s">
        <v>51</v>
      </c>
      <c r="F37" s="50" t="s">
        <v>52</v>
      </c>
      <c r="G37" s="12" t="s">
        <v>51</v>
      </c>
      <c r="H37" s="12" t="s">
        <v>52</v>
      </c>
      <c r="I37" s="57" t="s">
        <v>51</v>
      </c>
      <c r="J37" s="50" t="s">
        <v>52</v>
      </c>
      <c r="K37" s="12" t="s">
        <v>51</v>
      </c>
      <c r="L37" s="12" t="s">
        <v>52</v>
      </c>
      <c r="M37" s="57" t="s">
        <v>51</v>
      </c>
      <c r="N37" s="50" t="s">
        <v>52</v>
      </c>
      <c r="O37" s="12" t="s">
        <v>51</v>
      </c>
      <c r="P37" s="12" t="s">
        <v>52</v>
      </c>
      <c r="Q37" s="57" t="s">
        <v>51</v>
      </c>
      <c r="R37" s="50" t="s">
        <v>52</v>
      </c>
    </row>
    <row r="38" spans="1:18" x14ac:dyDescent="0.25">
      <c r="A38" s="87"/>
      <c r="B38" s="97" t="s">
        <v>2</v>
      </c>
      <c r="C38" s="101" t="s">
        <v>269</v>
      </c>
      <c r="D38" s="58" t="s">
        <v>3</v>
      </c>
      <c r="E38" s="59" t="s">
        <v>347</v>
      </c>
      <c r="F38" s="60" t="s">
        <v>348</v>
      </c>
      <c r="G38" s="61" t="s">
        <v>349</v>
      </c>
      <c r="H38" s="61" t="s">
        <v>348</v>
      </c>
      <c r="I38" s="59" t="s">
        <v>350</v>
      </c>
      <c r="J38" s="60" t="s">
        <v>14</v>
      </c>
      <c r="K38" s="61" t="s">
        <v>310</v>
      </c>
      <c r="L38" s="61" t="s">
        <v>49</v>
      </c>
      <c r="M38" s="59" t="s">
        <v>343</v>
      </c>
      <c r="N38" s="60" t="s">
        <v>49</v>
      </c>
      <c r="O38" s="61" t="s">
        <v>275</v>
      </c>
      <c r="P38" s="61" t="s">
        <v>21</v>
      </c>
      <c r="Q38" s="59" t="s">
        <v>302</v>
      </c>
      <c r="R38" s="60" t="s">
        <v>107</v>
      </c>
    </row>
    <row r="39" spans="1:18" x14ac:dyDescent="0.25">
      <c r="A39" s="87"/>
      <c r="B39" s="98"/>
      <c r="C39" s="102"/>
      <c r="D39" s="62" t="s">
        <v>4</v>
      </c>
      <c r="E39" s="63" t="s">
        <v>351</v>
      </c>
      <c r="F39" s="64" t="s">
        <v>348</v>
      </c>
      <c r="G39" s="65" t="s">
        <v>101</v>
      </c>
      <c r="H39" s="65" t="s">
        <v>348</v>
      </c>
      <c r="I39" s="63" t="s">
        <v>352</v>
      </c>
      <c r="J39" s="64" t="s">
        <v>14</v>
      </c>
      <c r="K39" s="65" t="s">
        <v>353</v>
      </c>
      <c r="L39" s="65" t="s">
        <v>49</v>
      </c>
      <c r="M39" s="63" t="s">
        <v>345</v>
      </c>
      <c r="N39" s="64" t="s">
        <v>49</v>
      </c>
      <c r="O39" s="65" t="s">
        <v>232</v>
      </c>
      <c r="P39" s="65" t="s">
        <v>21</v>
      </c>
      <c r="Q39" s="63" t="s">
        <v>354</v>
      </c>
      <c r="R39" s="64" t="s">
        <v>107</v>
      </c>
    </row>
    <row r="40" spans="1:18" x14ac:dyDescent="0.25">
      <c r="A40" s="87"/>
      <c r="B40" s="98"/>
      <c r="C40" s="103"/>
      <c r="D40" s="70" t="str">
        <f t="shared" ref="D40" si="9">"Total"</f>
        <v>Total</v>
      </c>
      <c r="E40" s="71" t="s">
        <v>51</v>
      </c>
      <c r="F40" s="72" t="s">
        <v>52</v>
      </c>
      <c r="G40" s="73" t="s">
        <v>51</v>
      </c>
      <c r="H40" s="73" t="s">
        <v>52</v>
      </c>
      <c r="I40" s="71" t="s">
        <v>51</v>
      </c>
      <c r="J40" s="72" t="s">
        <v>52</v>
      </c>
      <c r="K40" s="73" t="s">
        <v>51</v>
      </c>
      <c r="L40" s="73" t="s">
        <v>52</v>
      </c>
      <c r="M40" s="71" t="s">
        <v>51</v>
      </c>
      <c r="N40" s="72" t="s">
        <v>52</v>
      </c>
      <c r="O40" s="73" t="s">
        <v>51</v>
      </c>
      <c r="P40" s="73" t="s">
        <v>52</v>
      </c>
      <c r="Q40" s="71" t="s">
        <v>51</v>
      </c>
      <c r="R40" s="72" t="s">
        <v>52</v>
      </c>
    </row>
    <row r="41" spans="1:18" x14ac:dyDescent="0.25">
      <c r="A41" s="87"/>
      <c r="B41" s="98"/>
      <c r="C41" s="104" t="s">
        <v>270</v>
      </c>
      <c r="D41" s="52" t="s">
        <v>3</v>
      </c>
      <c r="E41" s="56" t="s">
        <v>180</v>
      </c>
      <c r="F41" s="49" t="s">
        <v>34</v>
      </c>
      <c r="G41" s="1" t="s">
        <v>192</v>
      </c>
      <c r="H41" s="1" t="s">
        <v>55</v>
      </c>
      <c r="I41" s="56" t="s">
        <v>189</v>
      </c>
      <c r="J41" s="49" t="s">
        <v>34</v>
      </c>
      <c r="K41" s="1" t="s">
        <v>324</v>
      </c>
      <c r="L41" s="1" t="s">
        <v>34</v>
      </c>
      <c r="M41" s="56" t="s">
        <v>255</v>
      </c>
      <c r="N41" s="49" t="s">
        <v>57</v>
      </c>
      <c r="O41" s="1" t="s">
        <v>254</v>
      </c>
      <c r="P41" s="1" t="s">
        <v>55</v>
      </c>
      <c r="Q41" s="56" t="s">
        <v>164</v>
      </c>
      <c r="R41" s="49" t="s">
        <v>62</v>
      </c>
    </row>
    <row r="42" spans="1:18" x14ac:dyDescent="0.25">
      <c r="A42" s="87"/>
      <c r="B42" s="98"/>
      <c r="C42" s="104"/>
      <c r="D42" s="52" t="s">
        <v>4</v>
      </c>
      <c r="E42" s="56" t="s">
        <v>177</v>
      </c>
      <c r="F42" s="49" t="s">
        <v>34</v>
      </c>
      <c r="G42" s="1" t="s">
        <v>190</v>
      </c>
      <c r="H42" s="1" t="s">
        <v>55</v>
      </c>
      <c r="I42" s="56" t="s">
        <v>191</v>
      </c>
      <c r="J42" s="49" t="s">
        <v>34</v>
      </c>
      <c r="K42" s="1" t="s">
        <v>322</v>
      </c>
      <c r="L42" s="1" t="s">
        <v>34</v>
      </c>
      <c r="M42" s="56" t="s">
        <v>256</v>
      </c>
      <c r="N42" s="49" t="s">
        <v>57</v>
      </c>
      <c r="O42" s="1" t="s">
        <v>252</v>
      </c>
      <c r="P42" s="1" t="s">
        <v>55</v>
      </c>
      <c r="Q42" s="56" t="s">
        <v>195</v>
      </c>
      <c r="R42" s="49" t="s">
        <v>62</v>
      </c>
    </row>
    <row r="43" spans="1:18" x14ac:dyDescent="0.25">
      <c r="A43" s="88"/>
      <c r="B43" s="99"/>
      <c r="C43" s="105"/>
      <c r="D43" s="54" t="str">
        <f t="shared" ref="D43" si="10">"Total"</f>
        <v>Total</v>
      </c>
      <c r="E43" s="24" t="s">
        <v>51</v>
      </c>
      <c r="F43" s="16" t="s">
        <v>52</v>
      </c>
      <c r="G43" s="6" t="s">
        <v>51</v>
      </c>
      <c r="H43" s="6" t="s">
        <v>52</v>
      </c>
      <c r="I43" s="24" t="s">
        <v>51</v>
      </c>
      <c r="J43" s="16" t="s">
        <v>52</v>
      </c>
      <c r="K43" s="6" t="s">
        <v>51</v>
      </c>
      <c r="L43" s="6" t="s">
        <v>52</v>
      </c>
      <c r="M43" s="24" t="s">
        <v>51</v>
      </c>
      <c r="N43" s="16" t="s">
        <v>52</v>
      </c>
      <c r="O43" s="6" t="s">
        <v>51</v>
      </c>
      <c r="P43" s="6" t="s">
        <v>52</v>
      </c>
      <c r="Q43" s="24" t="s">
        <v>51</v>
      </c>
      <c r="R43" s="16" t="s">
        <v>52</v>
      </c>
    </row>
    <row r="44" spans="1:18" x14ac:dyDescent="0.25">
      <c r="A44" s="86" t="s">
        <v>134</v>
      </c>
      <c r="B44" s="97" t="s">
        <v>0</v>
      </c>
      <c r="C44" s="106" t="s">
        <v>269</v>
      </c>
      <c r="D44" s="58" t="s">
        <v>3</v>
      </c>
      <c r="E44" s="59" t="s">
        <v>63</v>
      </c>
      <c r="F44" s="60" t="s">
        <v>18</v>
      </c>
      <c r="G44" s="61" t="s">
        <v>48</v>
      </c>
      <c r="H44" s="61" t="s">
        <v>125</v>
      </c>
      <c r="I44" s="59" t="s">
        <v>38</v>
      </c>
      <c r="J44" s="60" t="s">
        <v>18</v>
      </c>
      <c r="K44" s="61" t="s">
        <v>126</v>
      </c>
      <c r="L44" s="61" t="s">
        <v>47</v>
      </c>
      <c r="M44" s="59" t="s">
        <v>126</v>
      </c>
      <c r="N44" s="60" t="s">
        <v>99</v>
      </c>
      <c r="O44" s="61" t="s">
        <v>124</v>
      </c>
      <c r="P44" s="61" t="s">
        <v>18</v>
      </c>
      <c r="Q44" s="59" t="s">
        <v>109</v>
      </c>
      <c r="R44" s="60" t="s">
        <v>99</v>
      </c>
    </row>
    <row r="45" spans="1:18" x14ac:dyDescent="0.25">
      <c r="A45" s="87"/>
      <c r="B45" s="98"/>
      <c r="C45" s="107"/>
      <c r="D45" s="62" t="s">
        <v>4</v>
      </c>
      <c r="E45" s="63" t="s">
        <v>355</v>
      </c>
      <c r="F45" s="64" t="s">
        <v>18</v>
      </c>
      <c r="G45" s="65" t="s">
        <v>356</v>
      </c>
      <c r="H45" s="65" t="s">
        <v>125</v>
      </c>
      <c r="I45" s="63" t="s">
        <v>357</v>
      </c>
      <c r="J45" s="64" t="s">
        <v>18</v>
      </c>
      <c r="K45" s="65" t="s">
        <v>358</v>
      </c>
      <c r="L45" s="65" t="s">
        <v>47</v>
      </c>
      <c r="M45" s="63" t="s">
        <v>358</v>
      </c>
      <c r="N45" s="64" t="s">
        <v>99</v>
      </c>
      <c r="O45" s="65" t="s">
        <v>280</v>
      </c>
      <c r="P45" s="65" t="s">
        <v>18</v>
      </c>
      <c r="Q45" s="63" t="s">
        <v>359</v>
      </c>
      <c r="R45" s="64" t="s">
        <v>99</v>
      </c>
    </row>
    <row r="46" spans="1:18" s="2" customFormat="1" x14ac:dyDescent="0.25">
      <c r="A46" s="87"/>
      <c r="B46" s="98"/>
      <c r="C46" s="107"/>
      <c r="D46" s="70" t="str">
        <f t="shared" ref="D46" si="11">"Total"</f>
        <v>Total</v>
      </c>
      <c r="E46" s="71" t="s">
        <v>51</v>
      </c>
      <c r="F46" s="72" t="s">
        <v>52</v>
      </c>
      <c r="G46" s="73" t="s">
        <v>51</v>
      </c>
      <c r="H46" s="73" t="s">
        <v>52</v>
      </c>
      <c r="I46" s="71" t="s">
        <v>51</v>
      </c>
      <c r="J46" s="72" t="s">
        <v>52</v>
      </c>
      <c r="K46" s="73" t="s">
        <v>51</v>
      </c>
      <c r="L46" s="73" t="s">
        <v>52</v>
      </c>
      <c r="M46" s="71" t="s">
        <v>51</v>
      </c>
      <c r="N46" s="72" t="s">
        <v>52</v>
      </c>
      <c r="O46" s="73" t="s">
        <v>51</v>
      </c>
      <c r="P46" s="73" t="s">
        <v>52</v>
      </c>
      <c r="Q46" s="71" t="s">
        <v>51</v>
      </c>
      <c r="R46" s="72" t="s">
        <v>52</v>
      </c>
    </row>
    <row r="47" spans="1:18" x14ac:dyDescent="0.25">
      <c r="A47" s="87"/>
      <c r="B47" s="98"/>
      <c r="C47" s="100" t="s">
        <v>270</v>
      </c>
      <c r="D47" s="52" t="s">
        <v>3</v>
      </c>
      <c r="E47" s="56" t="s">
        <v>276</v>
      </c>
      <c r="F47" s="49" t="s">
        <v>26</v>
      </c>
      <c r="G47" s="1" t="s">
        <v>64</v>
      </c>
      <c r="H47" s="1" t="s">
        <v>111</v>
      </c>
      <c r="I47" s="56" t="s">
        <v>360</v>
      </c>
      <c r="J47" s="49" t="s">
        <v>78</v>
      </c>
      <c r="K47" s="1" t="s">
        <v>240</v>
      </c>
      <c r="L47" s="1" t="s">
        <v>83</v>
      </c>
      <c r="M47" s="56" t="s">
        <v>33</v>
      </c>
      <c r="N47" s="49" t="s">
        <v>36</v>
      </c>
      <c r="O47" s="1" t="s">
        <v>236</v>
      </c>
      <c r="P47" s="1" t="s">
        <v>76</v>
      </c>
      <c r="Q47" s="56" t="s">
        <v>277</v>
      </c>
      <c r="R47" s="49" t="s">
        <v>25</v>
      </c>
    </row>
    <row r="48" spans="1:18" x14ac:dyDescent="0.25">
      <c r="A48" s="87"/>
      <c r="B48" s="98"/>
      <c r="C48" s="92"/>
      <c r="D48" s="52" t="s">
        <v>4</v>
      </c>
      <c r="E48" s="56" t="s">
        <v>278</v>
      </c>
      <c r="F48" s="49" t="s">
        <v>26</v>
      </c>
      <c r="G48" s="1" t="s">
        <v>206</v>
      </c>
      <c r="H48" s="1" t="s">
        <v>111</v>
      </c>
      <c r="I48" s="56" t="s">
        <v>361</v>
      </c>
      <c r="J48" s="49" t="s">
        <v>78</v>
      </c>
      <c r="K48" s="1" t="s">
        <v>362</v>
      </c>
      <c r="L48" s="1" t="s">
        <v>83</v>
      </c>
      <c r="M48" s="56" t="s">
        <v>267</v>
      </c>
      <c r="N48" s="49" t="s">
        <v>36</v>
      </c>
      <c r="O48" s="1" t="s">
        <v>227</v>
      </c>
      <c r="P48" s="1" t="s">
        <v>76</v>
      </c>
      <c r="Q48" s="56" t="s">
        <v>279</v>
      </c>
      <c r="R48" s="49" t="s">
        <v>25</v>
      </c>
    </row>
    <row r="49" spans="1:18" s="2" customFormat="1" x14ac:dyDescent="0.25">
      <c r="A49" s="87"/>
      <c r="B49" s="99"/>
      <c r="C49" s="93"/>
      <c r="D49" s="54" t="str">
        <f t="shared" ref="D49" si="12">"Total"</f>
        <v>Total</v>
      </c>
      <c r="E49" s="24" t="s">
        <v>51</v>
      </c>
      <c r="F49" s="16" t="s">
        <v>52</v>
      </c>
      <c r="G49" s="6" t="s">
        <v>51</v>
      </c>
      <c r="H49" s="6" t="s">
        <v>52</v>
      </c>
      <c r="I49" s="24" t="s">
        <v>51</v>
      </c>
      <c r="J49" s="16" t="s">
        <v>52</v>
      </c>
      <c r="K49" s="6" t="s">
        <v>51</v>
      </c>
      <c r="L49" s="6" t="s">
        <v>52</v>
      </c>
      <c r="M49" s="24" t="s">
        <v>51</v>
      </c>
      <c r="N49" s="16" t="s">
        <v>52</v>
      </c>
      <c r="O49" s="6" t="s">
        <v>51</v>
      </c>
      <c r="P49" s="6" t="s">
        <v>52</v>
      </c>
      <c r="Q49" s="24" t="s">
        <v>51</v>
      </c>
      <c r="R49" s="16" t="s">
        <v>52</v>
      </c>
    </row>
    <row r="50" spans="1:18" x14ac:dyDescent="0.25">
      <c r="A50" s="87"/>
      <c r="B50" s="97" t="s">
        <v>1</v>
      </c>
      <c r="C50" s="101" t="s">
        <v>269</v>
      </c>
      <c r="D50" s="58" t="s">
        <v>3</v>
      </c>
      <c r="E50" s="59" t="s">
        <v>126</v>
      </c>
      <c r="F50" s="60" t="s">
        <v>18</v>
      </c>
      <c r="G50" s="61" t="s">
        <v>41</v>
      </c>
      <c r="H50" s="61" t="s">
        <v>81</v>
      </c>
      <c r="I50" s="59" t="s">
        <v>126</v>
      </c>
      <c r="J50" s="60" t="s">
        <v>18</v>
      </c>
      <c r="K50" s="61" t="s">
        <v>115</v>
      </c>
      <c r="L50" s="61" t="s">
        <v>99</v>
      </c>
      <c r="M50" s="59" t="s">
        <v>116</v>
      </c>
      <c r="N50" s="60" t="s">
        <v>99</v>
      </c>
      <c r="O50" s="61" t="s">
        <v>35</v>
      </c>
      <c r="P50" s="61" t="s">
        <v>53</v>
      </c>
      <c r="Q50" s="59" t="s">
        <v>33</v>
      </c>
      <c r="R50" s="60" t="s">
        <v>47</v>
      </c>
    </row>
    <row r="51" spans="1:18" x14ac:dyDescent="0.25">
      <c r="A51" s="87"/>
      <c r="B51" s="98"/>
      <c r="C51" s="102"/>
      <c r="D51" s="62" t="s">
        <v>4</v>
      </c>
      <c r="E51" s="63" t="s">
        <v>358</v>
      </c>
      <c r="F51" s="64" t="s">
        <v>18</v>
      </c>
      <c r="G51" s="65" t="s">
        <v>363</v>
      </c>
      <c r="H51" s="65" t="s">
        <v>81</v>
      </c>
      <c r="I51" s="63" t="s">
        <v>358</v>
      </c>
      <c r="J51" s="64" t="s">
        <v>18</v>
      </c>
      <c r="K51" s="65" t="s">
        <v>262</v>
      </c>
      <c r="L51" s="65" t="s">
        <v>99</v>
      </c>
      <c r="M51" s="63" t="s">
        <v>264</v>
      </c>
      <c r="N51" s="64" t="s">
        <v>99</v>
      </c>
      <c r="O51" s="65" t="s">
        <v>266</v>
      </c>
      <c r="P51" s="65" t="s">
        <v>53</v>
      </c>
      <c r="Q51" s="63" t="s">
        <v>267</v>
      </c>
      <c r="R51" s="64" t="s">
        <v>47</v>
      </c>
    </row>
    <row r="52" spans="1:18" s="2" customFormat="1" x14ac:dyDescent="0.25">
      <c r="A52" s="87"/>
      <c r="B52" s="98"/>
      <c r="C52" s="103"/>
      <c r="D52" s="70" t="str">
        <f t="shared" ref="D52" si="13">"Total"</f>
        <v>Total</v>
      </c>
      <c r="E52" s="71" t="s">
        <v>51</v>
      </c>
      <c r="F52" s="72" t="s">
        <v>52</v>
      </c>
      <c r="G52" s="73" t="s">
        <v>51</v>
      </c>
      <c r="H52" s="73" t="s">
        <v>52</v>
      </c>
      <c r="I52" s="71" t="s">
        <v>51</v>
      </c>
      <c r="J52" s="72" t="s">
        <v>52</v>
      </c>
      <c r="K52" s="73" t="s">
        <v>51</v>
      </c>
      <c r="L52" s="73" t="s">
        <v>52</v>
      </c>
      <c r="M52" s="71" t="s">
        <v>51</v>
      </c>
      <c r="N52" s="72" t="s">
        <v>52</v>
      </c>
      <c r="O52" s="73" t="s">
        <v>51</v>
      </c>
      <c r="P52" s="73" t="s">
        <v>52</v>
      </c>
      <c r="Q52" s="71" t="s">
        <v>51</v>
      </c>
      <c r="R52" s="72" t="s">
        <v>52</v>
      </c>
    </row>
    <row r="53" spans="1:18" x14ac:dyDescent="0.25">
      <c r="A53" s="87"/>
      <c r="B53" s="98"/>
      <c r="C53" s="104" t="s">
        <v>270</v>
      </c>
      <c r="D53" s="52" t="s">
        <v>3</v>
      </c>
      <c r="E53" s="56" t="s">
        <v>298</v>
      </c>
      <c r="F53" s="49" t="s">
        <v>110</v>
      </c>
      <c r="G53" s="1" t="s">
        <v>308</v>
      </c>
      <c r="H53" s="1" t="s">
        <v>36</v>
      </c>
      <c r="I53" s="56" t="s">
        <v>90</v>
      </c>
      <c r="J53" s="49" t="s">
        <v>85</v>
      </c>
      <c r="K53" s="1" t="s">
        <v>193</v>
      </c>
      <c r="L53" s="1" t="s">
        <v>69</v>
      </c>
      <c r="M53" s="56" t="s">
        <v>30</v>
      </c>
      <c r="N53" s="49" t="s">
        <v>27</v>
      </c>
      <c r="O53" s="1" t="s">
        <v>274</v>
      </c>
      <c r="P53" s="1" t="s">
        <v>83</v>
      </c>
      <c r="Q53" s="56" t="s">
        <v>136</v>
      </c>
      <c r="R53" s="49" t="s">
        <v>47</v>
      </c>
    </row>
    <row r="54" spans="1:18" x14ac:dyDescent="0.25">
      <c r="A54" s="87"/>
      <c r="B54" s="98"/>
      <c r="C54" s="104"/>
      <c r="D54" s="52" t="s">
        <v>4</v>
      </c>
      <c r="E54" s="56" t="s">
        <v>364</v>
      </c>
      <c r="F54" s="49" t="s">
        <v>110</v>
      </c>
      <c r="G54" s="1" t="s">
        <v>365</v>
      </c>
      <c r="H54" s="1" t="s">
        <v>36</v>
      </c>
      <c r="I54" s="56" t="s">
        <v>265</v>
      </c>
      <c r="J54" s="49" t="s">
        <v>85</v>
      </c>
      <c r="K54" s="1" t="s">
        <v>366</v>
      </c>
      <c r="L54" s="1" t="s">
        <v>69</v>
      </c>
      <c r="M54" s="56" t="s">
        <v>281</v>
      </c>
      <c r="N54" s="49" t="s">
        <v>27</v>
      </c>
      <c r="O54" s="1" t="s">
        <v>220</v>
      </c>
      <c r="P54" s="1" t="s">
        <v>83</v>
      </c>
      <c r="Q54" s="56" t="s">
        <v>137</v>
      </c>
      <c r="R54" s="49" t="s">
        <v>47</v>
      </c>
    </row>
    <row r="55" spans="1:18" s="2" customFormat="1" x14ac:dyDescent="0.25">
      <c r="A55" s="87"/>
      <c r="B55" s="99"/>
      <c r="C55" s="105"/>
      <c r="D55" s="54" t="str">
        <f t="shared" ref="D55" si="14">"Total"</f>
        <v>Total</v>
      </c>
      <c r="E55" s="24" t="s">
        <v>51</v>
      </c>
      <c r="F55" s="16" t="s">
        <v>52</v>
      </c>
      <c r="G55" s="6" t="s">
        <v>51</v>
      </c>
      <c r="H55" s="6" t="s">
        <v>52</v>
      </c>
      <c r="I55" s="24" t="s">
        <v>51</v>
      </c>
      <c r="J55" s="16" t="s">
        <v>52</v>
      </c>
      <c r="K55" s="6" t="s">
        <v>51</v>
      </c>
      <c r="L55" s="6" t="s">
        <v>52</v>
      </c>
      <c r="M55" s="24" t="s">
        <v>51</v>
      </c>
      <c r="N55" s="16" t="s">
        <v>52</v>
      </c>
      <c r="O55" s="6" t="s">
        <v>51</v>
      </c>
      <c r="P55" s="6" t="s">
        <v>52</v>
      </c>
      <c r="Q55" s="24" t="s">
        <v>51</v>
      </c>
      <c r="R55" s="16" t="s">
        <v>52</v>
      </c>
    </row>
    <row r="56" spans="1:18" x14ac:dyDescent="0.25">
      <c r="A56" s="87"/>
      <c r="B56" s="98" t="s">
        <v>2</v>
      </c>
      <c r="C56" s="101" t="s">
        <v>269</v>
      </c>
      <c r="D56" s="58" t="s">
        <v>3</v>
      </c>
      <c r="E56" s="59" t="s">
        <v>129</v>
      </c>
      <c r="F56" s="60" t="s">
        <v>125</v>
      </c>
      <c r="G56" s="61" t="s">
        <v>94</v>
      </c>
      <c r="H56" s="61" t="s">
        <v>125</v>
      </c>
      <c r="I56" s="59" t="s">
        <v>89</v>
      </c>
      <c r="J56" s="60" t="s">
        <v>18</v>
      </c>
      <c r="K56" s="61" t="s">
        <v>223</v>
      </c>
      <c r="L56" s="61" t="s">
        <v>25</v>
      </c>
      <c r="M56" s="59" t="s">
        <v>103</v>
      </c>
      <c r="N56" s="60" t="s">
        <v>99</v>
      </c>
      <c r="O56" s="61" t="s">
        <v>116</v>
      </c>
      <c r="P56" s="61" t="s">
        <v>80</v>
      </c>
      <c r="Q56" s="59" t="s">
        <v>60</v>
      </c>
      <c r="R56" s="60" t="s">
        <v>42</v>
      </c>
    </row>
    <row r="57" spans="1:18" x14ac:dyDescent="0.25">
      <c r="A57" s="87"/>
      <c r="B57" s="98"/>
      <c r="C57" s="102"/>
      <c r="D57" s="62" t="s">
        <v>4</v>
      </c>
      <c r="E57" s="63" t="s">
        <v>260</v>
      </c>
      <c r="F57" s="64" t="s">
        <v>125</v>
      </c>
      <c r="G57" s="65" t="s">
        <v>367</v>
      </c>
      <c r="H57" s="65" t="s">
        <v>125</v>
      </c>
      <c r="I57" s="63" t="s">
        <v>368</v>
      </c>
      <c r="J57" s="64" t="s">
        <v>18</v>
      </c>
      <c r="K57" s="65" t="s">
        <v>271</v>
      </c>
      <c r="L57" s="65" t="s">
        <v>25</v>
      </c>
      <c r="M57" s="63" t="s">
        <v>369</v>
      </c>
      <c r="N57" s="64" t="s">
        <v>99</v>
      </c>
      <c r="O57" s="65" t="s">
        <v>264</v>
      </c>
      <c r="P57" s="65" t="s">
        <v>80</v>
      </c>
      <c r="Q57" s="63" t="s">
        <v>263</v>
      </c>
      <c r="R57" s="64" t="s">
        <v>42</v>
      </c>
    </row>
    <row r="58" spans="1:18" s="2" customFormat="1" x14ac:dyDescent="0.25">
      <c r="A58" s="87"/>
      <c r="B58" s="98"/>
      <c r="C58" s="103"/>
      <c r="D58" s="70" t="str">
        <f t="shared" ref="D58" si="15">"Total"</f>
        <v>Total</v>
      </c>
      <c r="E58" s="71" t="s">
        <v>51</v>
      </c>
      <c r="F58" s="72" t="s">
        <v>52</v>
      </c>
      <c r="G58" s="73" t="s">
        <v>51</v>
      </c>
      <c r="H58" s="73" t="s">
        <v>52</v>
      </c>
      <c r="I58" s="71" t="s">
        <v>51</v>
      </c>
      <c r="J58" s="72" t="s">
        <v>52</v>
      </c>
      <c r="K58" s="73" t="s">
        <v>51</v>
      </c>
      <c r="L58" s="73" t="s">
        <v>52</v>
      </c>
      <c r="M58" s="71" t="s">
        <v>51</v>
      </c>
      <c r="N58" s="72" t="s">
        <v>52</v>
      </c>
      <c r="O58" s="73" t="s">
        <v>51</v>
      </c>
      <c r="P58" s="73" t="s">
        <v>52</v>
      </c>
      <c r="Q58" s="71" t="s">
        <v>51</v>
      </c>
      <c r="R58" s="72" t="s">
        <v>52</v>
      </c>
    </row>
    <row r="59" spans="1:18" x14ac:dyDescent="0.25">
      <c r="A59" s="87"/>
      <c r="B59" s="98"/>
      <c r="C59" s="104" t="s">
        <v>270</v>
      </c>
      <c r="D59" s="52" t="s">
        <v>3</v>
      </c>
      <c r="E59" s="56" t="s">
        <v>370</v>
      </c>
      <c r="F59" s="49" t="s">
        <v>24</v>
      </c>
      <c r="G59" s="1" t="s">
        <v>32</v>
      </c>
      <c r="H59" s="1" t="s">
        <v>107</v>
      </c>
      <c r="I59" s="56" t="s">
        <v>371</v>
      </c>
      <c r="J59" s="49" t="s">
        <v>24</v>
      </c>
      <c r="K59" s="1" t="s">
        <v>372</v>
      </c>
      <c r="L59" s="1" t="s">
        <v>71</v>
      </c>
      <c r="M59" s="56" t="s">
        <v>373</v>
      </c>
      <c r="N59" s="49" t="s">
        <v>78</v>
      </c>
      <c r="O59" s="1" t="s">
        <v>374</v>
      </c>
      <c r="P59" s="1" t="s">
        <v>39</v>
      </c>
      <c r="Q59" s="56" t="s">
        <v>184</v>
      </c>
      <c r="R59" s="49" t="s">
        <v>53</v>
      </c>
    </row>
    <row r="60" spans="1:18" x14ac:dyDescent="0.25">
      <c r="A60" s="87"/>
      <c r="B60" s="98"/>
      <c r="C60" s="104"/>
      <c r="D60" s="52" t="s">
        <v>4</v>
      </c>
      <c r="E60" s="56" t="s">
        <v>375</v>
      </c>
      <c r="F60" s="49" t="s">
        <v>24</v>
      </c>
      <c r="G60" s="1" t="s">
        <v>261</v>
      </c>
      <c r="H60" s="1" t="s">
        <v>107</v>
      </c>
      <c r="I60" s="56" t="s">
        <v>376</v>
      </c>
      <c r="J60" s="49" t="s">
        <v>24</v>
      </c>
      <c r="K60" s="1" t="s">
        <v>377</v>
      </c>
      <c r="L60" s="1" t="s">
        <v>71</v>
      </c>
      <c r="M60" s="56" t="s">
        <v>378</v>
      </c>
      <c r="N60" s="49" t="s">
        <v>78</v>
      </c>
      <c r="O60" s="1" t="s">
        <v>379</v>
      </c>
      <c r="P60" s="1" t="s">
        <v>39</v>
      </c>
      <c r="Q60" s="56" t="s">
        <v>187</v>
      </c>
      <c r="R60" s="49" t="s">
        <v>53</v>
      </c>
    </row>
    <row r="61" spans="1:18" s="2" customFormat="1" x14ac:dyDescent="0.25">
      <c r="A61" s="88"/>
      <c r="B61" s="99"/>
      <c r="C61" s="105"/>
      <c r="D61" s="54" t="str">
        <f t="shared" ref="D61" si="16">"Total"</f>
        <v>Total</v>
      </c>
      <c r="E61" s="24" t="s">
        <v>51</v>
      </c>
      <c r="F61" s="16" t="s">
        <v>52</v>
      </c>
      <c r="G61" s="6" t="s">
        <v>51</v>
      </c>
      <c r="H61" s="6" t="s">
        <v>52</v>
      </c>
      <c r="I61" s="24" t="s">
        <v>51</v>
      </c>
      <c r="J61" s="16" t="s">
        <v>52</v>
      </c>
      <c r="K61" s="6" t="s">
        <v>51</v>
      </c>
      <c r="L61" s="6" t="s">
        <v>52</v>
      </c>
      <c r="M61" s="24" t="s">
        <v>51</v>
      </c>
      <c r="N61" s="16" t="s">
        <v>52</v>
      </c>
      <c r="O61" s="6" t="s">
        <v>51</v>
      </c>
      <c r="P61" s="6" t="s">
        <v>52</v>
      </c>
      <c r="Q61" s="24" t="s">
        <v>51</v>
      </c>
      <c r="R61" s="16" t="s">
        <v>52</v>
      </c>
    </row>
    <row r="62" spans="1:18" x14ac:dyDescent="0.25">
      <c r="A62" s="86" t="s">
        <v>158</v>
      </c>
      <c r="B62" s="97" t="s">
        <v>0</v>
      </c>
      <c r="C62" s="101" t="s">
        <v>269</v>
      </c>
      <c r="D62" s="58" t="s">
        <v>3</v>
      </c>
      <c r="E62" s="59" t="s">
        <v>380</v>
      </c>
      <c r="F62" s="60" t="s">
        <v>76</v>
      </c>
      <c r="G62" s="61" t="s">
        <v>141</v>
      </c>
      <c r="H62" s="61" t="s">
        <v>24</v>
      </c>
      <c r="I62" s="59" t="s">
        <v>178</v>
      </c>
      <c r="J62" s="60" t="s">
        <v>74</v>
      </c>
      <c r="K62" s="61" t="s">
        <v>179</v>
      </c>
      <c r="L62" s="61" t="s">
        <v>39</v>
      </c>
      <c r="M62" s="59" t="s">
        <v>186</v>
      </c>
      <c r="N62" s="60" t="s">
        <v>78</v>
      </c>
      <c r="O62" s="61" t="s">
        <v>381</v>
      </c>
      <c r="P62" s="61" t="s">
        <v>107</v>
      </c>
      <c r="Q62" s="59" t="s">
        <v>106</v>
      </c>
      <c r="R62" s="60" t="s">
        <v>25</v>
      </c>
    </row>
    <row r="63" spans="1:18" x14ac:dyDescent="0.25">
      <c r="A63" s="87"/>
      <c r="B63" s="98"/>
      <c r="C63" s="102"/>
      <c r="D63" s="62" t="s">
        <v>4</v>
      </c>
      <c r="E63" s="63" t="s">
        <v>382</v>
      </c>
      <c r="F63" s="64" t="s">
        <v>76</v>
      </c>
      <c r="G63" s="65" t="s">
        <v>209</v>
      </c>
      <c r="H63" s="65" t="s">
        <v>24</v>
      </c>
      <c r="I63" s="63" t="s">
        <v>182</v>
      </c>
      <c r="J63" s="64" t="s">
        <v>74</v>
      </c>
      <c r="K63" s="65" t="s">
        <v>159</v>
      </c>
      <c r="L63" s="65" t="s">
        <v>39</v>
      </c>
      <c r="M63" s="63" t="s">
        <v>169</v>
      </c>
      <c r="N63" s="64" t="s">
        <v>78</v>
      </c>
      <c r="O63" s="65" t="s">
        <v>171</v>
      </c>
      <c r="P63" s="65" t="s">
        <v>107</v>
      </c>
      <c r="Q63" s="63" t="s">
        <v>201</v>
      </c>
      <c r="R63" s="64" t="s">
        <v>25</v>
      </c>
    </row>
    <row r="64" spans="1:18" s="2" customFormat="1" x14ac:dyDescent="0.25">
      <c r="A64" s="87"/>
      <c r="B64" s="98"/>
      <c r="C64" s="103"/>
      <c r="D64" s="70" t="str">
        <f t="shared" ref="D64" si="17">"Total"</f>
        <v>Total</v>
      </c>
      <c r="E64" s="71" t="s">
        <v>51</v>
      </c>
      <c r="F64" s="72" t="s">
        <v>52</v>
      </c>
      <c r="G64" s="73" t="s">
        <v>51</v>
      </c>
      <c r="H64" s="73" t="s">
        <v>52</v>
      </c>
      <c r="I64" s="71" t="s">
        <v>51</v>
      </c>
      <c r="J64" s="72" t="s">
        <v>52</v>
      </c>
      <c r="K64" s="73" t="s">
        <v>51</v>
      </c>
      <c r="L64" s="73" t="s">
        <v>52</v>
      </c>
      <c r="M64" s="71" t="s">
        <v>51</v>
      </c>
      <c r="N64" s="72" t="s">
        <v>52</v>
      </c>
      <c r="O64" s="73" t="s">
        <v>51</v>
      </c>
      <c r="P64" s="73" t="s">
        <v>52</v>
      </c>
      <c r="Q64" s="71" t="s">
        <v>51</v>
      </c>
      <c r="R64" s="72" t="s">
        <v>52</v>
      </c>
    </row>
    <row r="65" spans="1:18" x14ac:dyDescent="0.25">
      <c r="A65" s="87"/>
      <c r="B65" s="98"/>
      <c r="C65" s="104" t="s">
        <v>270</v>
      </c>
      <c r="D65" s="52" t="s">
        <v>3</v>
      </c>
      <c r="E65" s="56" t="s">
        <v>208</v>
      </c>
      <c r="F65" s="49" t="s">
        <v>42</v>
      </c>
      <c r="G65" s="1" t="s">
        <v>155</v>
      </c>
      <c r="H65" s="1" t="s">
        <v>99</v>
      </c>
      <c r="I65" s="56" t="s">
        <v>383</v>
      </c>
      <c r="J65" s="49" t="s">
        <v>42</v>
      </c>
      <c r="K65" s="1" t="s">
        <v>384</v>
      </c>
      <c r="L65" s="1" t="s">
        <v>99</v>
      </c>
      <c r="M65" s="56" t="s">
        <v>176</v>
      </c>
      <c r="N65" s="49" t="s">
        <v>55</v>
      </c>
      <c r="O65" s="1" t="s">
        <v>197</v>
      </c>
      <c r="P65" s="1" t="s">
        <v>54</v>
      </c>
      <c r="Q65" s="56" t="s">
        <v>215</v>
      </c>
      <c r="R65" s="49" t="s">
        <v>59</v>
      </c>
    </row>
    <row r="66" spans="1:18" x14ac:dyDescent="0.25">
      <c r="A66" s="87"/>
      <c r="B66" s="98"/>
      <c r="C66" s="104"/>
      <c r="D66" s="52" t="s">
        <v>4</v>
      </c>
      <c r="E66" s="56" t="s">
        <v>207</v>
      </c>
      <c r="F66" s="49" t="s">
        <v>42</v>
      </c>
      <c r="G66" s="1" t="s">
        <v>385</v>
      </c>
      <c r="H66" s="1" t="s">
        <v>99</v>
      </c>
      <c r="I66" s="56" t="s">
        <v>386</v>
      </c>
      <c r="J66" s="49" t="s">
        <v>42</v>
      </c>
      <c r="K66" s="1" t="s">
        <v>210</v>
      </c>
      <c r="L66" s="1" t="s">
        <v>99</v>
      </c>
      <c r="M66" s="56" t="s">
        <v>175</v>
      </c>
      <c r="N66" s="49" t="s">
        <v>55</v>
      </c>
      <c r="O66" s="1" t="s">
        <v>148</v>
      </c>
      <c r="P66" s="1" t="s">
        <v>54</v>
      </c>
      <c r="Q66" s="56" t="s">
        <v>216</v>
      </c>
      <c r="R66" s="49" t="s">
        <v>59</v>
      </c>
    </row>
    <row r="67" spans="1:18" s="2" customFormat="1" x14ac:dyDescent="0.25">
      <c r="A67" s="87"/>
      <c r="B67" s="99"/>
      <c r="C67" s="105"/>
      <c r="D67" s="54" t="str">
        <f t="shared" ref="D67" si="18">"Total"</f>
        <v>Total</v>
      </c>
      <c r="E67" s="24" t="s">
        <v>51</v>
      </c>
      <c r="F67" s="16" t="s">
        <v>52</v>
      </c>
      <c r="G67" s="6" t="s">
        <v>51</v>
      </c>
      <c r="H67" s="6" t="s">
        <v>52</v>
      </c>
      <c r="I67" s="24" t="s">
        <v>51</v>
      </c>
      <c r="J67" s="16" t="s">
        <v>52</v>
      </c>
      <c r="K67" s="6" t="s">
        <v>51</v>
      </c>
      <c r="L67" s="6" t="s">
        <v>52</v>
      </c>
      <c r="M67" s="24" t="s">
        <v>51</v>
      </c>
      <c r="N67" s="16" t="s">
        <v>52</v>
      </c>
      <c r="O67" s="6" t="s">
        <v>51</v>
      </c>
      <c r="P67" s="6" t="s">
        <v>52</v>
      </c>
      <c r="Q67" s="24" t="s">
        <v>51</v>
      </c>
      <c r="R67" s="16" t="s">
        <v>52</v>
      </c>
    </row>
    <row r="68" spans="1:18" x14ac:dyDescent="0.25">
      <c r="A68" s="87"/>
      <c r="B68" s="98" t="s">
        <v>1</v>
      </c>
      <c r="C68" s="101" t="s">
        <v>269</v>
      </c>
      <c r="D68" s="58" t="s">
        <v>3</v>
      </c>
      <c r="E68" s="59" t="s">
        <v>150</v>
      </c>
      <c r="F68" s="60" t="s">
        <v>96</v>
      </c>
      <c r="G68" s="61" t="s">
        <v>315</v>
      </c>
      <c r="H68" s="61" t="s">
        <v>39</v>
      </c>
      <c r="I68" s="59" t="s">
        <v>105</v>
      </c>
      <c r="J68" s="60" t="s">
        <v>113</v>
      </c>
      <c r="K68" s="61" t="s">
        <v>218</v>
      </c>
      <c r="L68" s="61" t="s">
        <v>113</v>
      </c>
      <c r="M68" s="59" t="s">
        <v>217</v>
      </c>
      <c r="N68" s="60" t="s">
        <v>44</v>
      </c>
      <c r="O68" s="61" t="s">
        <v>151</v>
      </c>
      <c r="P68" s="61" t="s">
        <v>74</v>
      </c>
      <c r="Q68" s="59" t="s">
        <v>199</v>
      </c>
      <c r="R68" s="60" t="s">
        <v>25</v>
      </c>
    </row>
    <row r="69" spans="1:18" x14ac:dyDescent="0.25">
      <c r="A69" s="87"/>
      <c r="B69" s="98"/>
      <c r="C69" s="102"/>
      <c r="D69" s="62" t="s">
        <v>4</v>
      </c>
      <c r="E69" s="63" t="s">
        <v>146</v>
      </c>
      <c r="F69" s="64" t="s">
        <v>96</v>
      </c>
      <c r="G69" s="65" t="s">
        <v>287</v>
      </c>
      <c r="H69" s="65" t="s">
        <v>39</v>
      </c>
      <c r="I69" s="63" t="s">
        <v>120</v>
      </c>
      <c r="J69" s="64" t="s">
        <v>113</v>
      </c>
      <c r="K69" s="65" t="s">
        <v>268</v>
      </c>
      <c r="L69" s="65" t="s">
        <v>113</v>
      </c>
      <c r="M69" s="63" t="s">
        <v>228</v>
      </c>
      <c r="N69" s="64" t="s">
        <v>44</v>
      </c>
      <c r="O69" s="65" t="s">
        <v>387</v>
      </c>
      <c r="P69" s="65" t="s">
        <v>74</v>
      </c>
      <c r="Q69" s="63" t="s">
        <v>145</v>
      </c>
      <c r="R69" s="64" t="s">
        <v>25</v>
      </c>
    </row>
    <row r="70" spans="1:18" s="2" customFormat="1" x14ac:dyDescent="0.25">
      <c r="A70" s="87"/>
      <c r="B70" s="98"/>
      <c r="C70" s="103"/>
      <c r="D70" s="70" t="str">
        <f t="shared" ref="D70" si="19">"Total"</f>
        <v>Total</v>
      </c>
      <c r="E70" s="71" t="s">
        <v>51</v>
      </c>
      <c r="F70" s="72" t="s">
        <v>52</v>
      </c>
      <c r="G70" s="73" t="s">
        <v>51</v>
      </c>
      <c r="H70" s="73" t="s">
        <v>52</v>
      </c>
      <c r="I70" s="71" t="s">
        <v>51</v>
      </c>
      <c r="J70" s="72" t="s">
        <v>52</v>
      </c>
      <c r="K70" s="73" t="s">
        <v>51</v>
      </c>
      <c r="L70" s="73" t="s">
        <v>52</v>
      </c>
      <c r="M70" s="71" t="s">
        <v>51</v>
      </c>
      <c r="N70" s="72" t="s">
        <v>52</v>
      </c>
      <c r="O70" s="73" t="s">
        <v>51</v>
      </c>
      <c r="P70" s="73" t="s">
        <v>52</v>
      </c>
      <c r="Q70" s="71" t="s">
        <v>51</v>
      </c>
      <c r="R70" s="72" t="s">
        <v>52</v>
      </c>
    </row>
    <row r="71" spans="1:18" x14ac:dyDescent="0.25">
      <c r="A71" s="87"/>
      <c r="B71" s="98"/>
      <c r="C71" s="104" t="s">
        <v>270</v>
      </c>
      <c r="D71" s="52" t="s">
        <v>3</v>
      </c>
      <c r="E71" s="56" t="s">
        <v>244</v>
      </c>
      <c r="F71" s="49" t="s">
        <v>42</v>
      </c>
      <c r="G71" s="1" t="s">
        <v>171</v>
      </c>
      <c r="H71" s="1" t="s">
        <v>47</v>
      </c>
      <c r="I71" s="56" t="s">
        <v>387</v>
      </c>
      <c r="J71" s="49" t="s">
        <v>99</v>
      </c>
      <c r="K71" s="1" t="s">
        <v>197</v>
      </c>
      <c r="L71" s="1" t="s">
        <v>47</v>
      </c>
      <c r="M71" s="56" t="s">
        <v>239</v>
      </c>
      <c r="N71" s="49" t="s">
        <v>42</v>
      </c>
      <c r="O71" s="1" t="s">
        <v>235</v>
      </c>
      <c r="P71" s="1" t="s">
        <v>55</v>
      </c>
      <c r="Q71" s="56" t="s">
        <v>137</v>
      </c>
      <c r="R71" s="49" t="s">
        <v>59</v>
      </c>
    </row>
    <row r="72" spans="1:18" x14ac:dyDescent="0.25">
      <c r="A72" s="87"/>
      <c r="B72" s="98"/>
      <c r="C72" s="104"/>
      <c r="D72" s="52" t="s">
        <v>4</v>
      </c>
      <c r="E72" s="56" t="s">
        <v>247</v>
      </c>
      <c r="F72" s="49" t="s">
        <v>42</v>
      </c>
      <c r="G72" s="1" t="s">
        <v>381</v>
      </c>
      <c r="H72" s="1" t="s">
        <v>47</v>
      </c>
      <c r="I72" s="56" t="s">
        <v>151</v>
      </c>
      <c r="J72" s="49" t="s">
        <v>99</v>
      </c>
      <c r="K72" s="1" t="s">
        <v>148</v>
      </c>
      <c r="L72" s="1" t="s">
        <v>47</v>
      </c>
      <c r="M72" s="56" t="s">
        <v>119</v>
      </c>
      <c r="N72" s="49" t="s">
        <v>42</v>
      </c>
      <c r="O72" s="1" t="s">
        <v>257</v>
      </c>
      <c r="P72" s="1" t="s">
        <v>55</v>
      </c>
      <c r="Q72" s="56" t="s">
        <v>136</v>
      </c>
      <c r="R72" s="49" t="s">
        <v>59</v>
      </c>
    </row>
    <row r="73" spans="1:18" s="2" customFormat="1" x14ac:dyDescent="0.25">
      <c r="A73" s="87"/>
      <c r="B73" s="98"/>
      <c r="C73" s="104"/>
      <c r="D73" s="53" t="str">
        <f t="shared" ref="D73" si="20">"Total"</f>
        <v>Total</v>
      </c>
      <c r="E73" s="57" t="s">
        <v>51</v>
      </c>
      <c r="F73" s="50" t="s">
        <v>52</v>
      </c>
      <c r="G73" s="12" t="s">
        <v>51</v>
      </c>
      <c r="H73" s="12" t="s">
        <v>52</v>
      </c>
      <c r="I73" s="57" t="s">
        <v>51</v>
      </c>
      <c r="J73" s="50" t="s">
        <v>52</v>
      </c>
      <c r="K73" s="12" t="s">
        <v>51</v>
      </c>
      <c r="L73" s="12" t="s">
        <v>52</v>
      </c>
      <c r="M73" s="57" t="s">
        <v>51</v>
      </c>
      <c r="N73" s="50" t="s">
        <v>52</v>
      </c>
      <c r="O73" s="12" t="s">
        <v>51</v>
      </c>
      <c r="P73" s="12" t="s">
        <v>52</v>
      </c>
      <c r="Q73" s="57" t="s">
        <v>51</v>
      </c>
      <c r="R73" s="50" t="s">
        <v>52</v>
      </c>
    </row>
    <row r="74" spans="1:18" x14ac:dyDescent="0.25">
      <c r="A74" s="87"/>
      <c r="B74" s="97" t="s">
        <v>2</v>
      </c>
      <c r="C74" s="101" t="s">
        <v>269</v>
      </c>
      <c r="D74" s="58" t="s">
        <v>3</v>
      </c>
      <c r="E74" s="59" t="s">
        <v>344</v>
      </c>
      <c r="F74" s="60" t="s">
        <v>111</v>
      </c>
      <c r="G74" s="61" t="s">
        <v>282</v>
      </c>
      <c r="H74" s="61" t="s">
        <v>107</v>
      </c>
      <c r="I74" s="59" t="s">
        <v>142</v>
      </c>
      <c r="J74" s="60" t="s">
        <v>44</v>
      </c>
      <c r="K74" s="61" t="s">
        <v>175</v>
      </c>
      <c r="L74" s="61" t="s">
        <v>96</v>
      </c>
      <c r="M74" s="59" t="s">
        <v>92</v>
      </c>
      <c r="N74" s="60" t="s">
        <v>26</v>
      </c>
      <c r="O74" s="61" t="s">
        <v>349</v>
      </c>
      <c r="P74" s="61" t="s">
        <v>74</v>
      </c>
      <c r="Q74" s="59" t="s">
        <v>388</v>
      </c>
      <c r="R74" s="60" t="s">
        <v>84</v>
      </c>
    </row>
    <row r="75" spans="1:18" x14ac:dyDescent="0.25">
      <c r="A75" s="87"/>
      <c r="B75" s="98"/>
      <c r="C75" s="102"/>
      <c r="D75" s="62" t="s">
        <v>4</v>
      </c>
      <c r="E75" s="63" t="s">
        <v>346</v>
      </c>
      <c r="F75" s="64" t="s">
        <v>111</v>
      </c>
      <c r="G75" s="65" t="s">
        <v>389</v>
      </c>
      <c r="H75" s="65" t="s">
        <v>107</v>
      </c>
      <c r="I75" s="63" t="s">
        <v>128</v>
      </c>
      <c r="J75" s="64" t="s">
        <v>44</v>
      </c>
      <c r="K75" s="65" t="s">
        <v>176</v>
      </c>
      <c r="L75" s="65" t="s">
        <v>96</v>
      </c>
      <c r="M75" s="63" t="s">
        <v>163</v>
      </c>
      <c r="N75" s="64" t="s">
        <v>26</v>
      </c>
      <c r="O75" s="65" t="s">
        <v>101</v>
      </c>
      <c r="P75" s="65" t="s">
        <v>74</v>
      </c>
      <c r="Q75" s="63" t="s">
        <v>390</v>
      </c>
      <c r="R75" s="64" t="s">
        <v>84</v>
      </c>
    </row>
    <row r="76" spans="1:18" s="2" customFormat="1" x14ac:dyDescent="0.25">
      <c r="A76" s="87"/>
      <c r="B76" s="98"/>
      <c r="C76" s="103"/>
      <c r="D76" s="70" t="str">
        <f t="shared" ref="D76" si="21">"Total"</f>
        <v>Total</v>
      </c>
      <c r="E76" s="71" t="s">
        <v>51</v>
      </c>
      <c r="F76" s="72" t="s">
        <v>52</v>
      </c>
      <c r="G76" s="73" t="s">
        <v>51</v>
      </c>
      <c r="H76" s="73" t="s">
        <v>52</v>
      </c>
      <c r="I76" s="71" t="s">
        <v>51</v>
      </c>
      <c r="J76" s="72" t="s">
        <v>52</v>
      </c>
      <c r="K76" s="73" t="s">
        <v>51</v>
      </c>
      <c r="L76" s="73" t="s">
        <v>52</v>
      </c>
      <c r="M76" s="71" t="s">
        <v>51</v>
      </c>
      <c r="N76" s="72" t="s">
        <v>52</v>
      </c>
      <c r="O76" s="73" t="s">
        <v>51</v>
      </c>
      <c r="P76" s="73" t="s">
        <v>52</v>
      </c>
      <c r="Q76" s="71" t="s">
        <v>51</v>
      </c>
      <c r="R76" s="72" t="s">
        <v>52</v>
      </c>
    </row>
    <row r="77" spans="1:18" x14ac:dyDescent="0.25">
      <c r="A77" s="87"/>
      <c r="B77" s="98"/>
      <c r="C77" s="104" t="s">
        <v>270</v>
      </c>
      <c r="D77" s="52" t="s">
        <v>3</v>
      </c>
      <c r="E77" s="56" t="s">
        <v>244</v>
      </c>
      <c r="F77" s="49" t="s">
        <v>55</v>
      </c>
      <c r="G77" s="1" t="s">
        <v>167</v>
      </c>
      <c r="H77" s="1" t="s">
        <v>99</v>
      </c>
      <c r="I77" s="56" t="s">
        <v>384</v>
      </c>
      <c r="J77" s="49" t="s">
        <v>55</v>
      </c>
      <c r="K77" s="1" t="s">
        <v>387</v>
      </c>
      <c r="L77" s="1" t="s">
        <v>42</v>
      </c>
      <c r="M77" s="56" t="s">
        <v>391</v>
      </c>
      <c r="N77" s="49" t="s">
        <v>55</v>
      </c>
      <c r="O77" s="1" t="s">
        <v>197</v>
      </c>
      <c r="P77" s="1" t="s">
        <v>54</v>
      </c>
      <c r="Q77" s="56" t="s">
        <v>392</v>
      </c>
      <c r="R77" s="49" t="s">
        <v>59</v>
      </c>
    </row>
    <row r="78" spans="1:18" x14ac:dyDescent="0.25">
      <c r="A78" s="87"/>
      <c r="B78" s="98"/>
      <c r="C78" s="104"/>
      <c r="D78" s="52" t="s">
        <v>4</v>
      </c>
      <c r="E78" s="56" t="s">
        <v>247</v>
      </c>
      <c r="F78" s="49" t="s">
        <v>55</v>
      </c>
      <c r="G78" s="1" t="s">
        <v>246</v>
      </c>
      <c r="H78" s="1" t="s">
        <v>99</v>
      </c>
      <c r="I78" s="56" t="s">
        <v>210</v>
      </c>
      <c r="J78" s="49" t="s">
        <v>55</v>
      </c>
      <c r="K78" s="1" t="s">
        <v>151</v>
      </c>
      <c r="L78" s="1" t="s">
        <v>42</v>
      </c>
      <c r="M78" s="56" t="s">
        <v>393</v>
      </c>
      <c r="N78" s="49" t="s">
        <v>55</v>
      </c>
      <c r="O78" s="1" t="s">
        <v>148</v>
      </c>
      <c r="P78" s="1" t="s">
        <v>54</v>
      </c>
      <c r="Q78" s="56" t="s">
        <v>394</v>
      </c>
      <c r="R78" s="49" t="s">
        <v>59</v>
      </c>
    </row>
    <row r="79" spans="1:18" s="2" customFormat="1" x14ac:dyDescent="0.25">
      <c r="A79" s="88"/>
      <c r="B79" s="99"/>
      <c r="C79" s="105"/>
      <c r="D79" s="54" t="str">
        <f t="shared" ref="D79" si="22">"Total"</f>
        <v>Total</v>
      </c>
      <c r="E79" s="24" t="s">
        <v>51</v>
      </c>
      <c r="F79" s="16" t="s">
        <v>52</v>
      </c>
      <c r="G79" s="6" t="s">
        <v>51</v>
      </c>
      <c r="H79" s="6" t="s">
        <v>52</v>
      </c>
      <c r="I79" s="24" t="s">
        <v>51</v>
      </c>
      <c r="J79" s="16" t="s">
        <v>52</v>
      </c>
      <c r="K79" s="6" t="s">
        <v>51</v>
      </c>
      <c r="L79" s="6" t="s">
        <v>52</v>
      </c>
      <c r="M79" s="24" t="s">
        <v>51</v>
      </c>
      <c r="N79" s="16" t="s">
        <v>52</v>
      </c>
      <c r="O79" s="6" t="s">
        <v>51</v>
      </c>
      <c r="P79" s="6" t="s">
        <v>52</v>
      </c>
      <c r="Q79" s="24" t="s">
        <v>51</v>
      </c>
      <c r="R79" s="16" t="s">
        <v>52</v>
      </c>
    </row>
  </sheetData>
  <mergeCells count="48">
    <mergeCell ref="A62:A79"/>
    <mergeCell ref="B62:B67"/>
    <mergeCell ref="C62:C64"/>
    <mergeCell ref="C65:C67"/>
    <mergeCell ref="B68:B73"/>
    <mergeCell ref="C68:C70"/>
    <mergeCell ref="C71:C73"/>
    <mergeCell ref="B74:B79"/>
    <mergeCell ref="C74:C76"/>
    <mergeCell ref="C77:C79"/>
    <mergeCell ref="A44:A61"/>
    <mergeCell ref="B44:B49"/>
    <mergeCell ref="C44:C46"/>
    <mergeCell ref="C47:C49"/>
    <mergeCell ref="B50:B55"/>
    <mergeCell ref="C50:C52"/>
    <mergeCell ref="C53:C55"/>
    <mergeCell ref="B56:B61"/>
    <mergeCell ref="C56:C58"/>
    <mergeCell ref="C59:C61"/>
    <mergeCell ref="A26:A43"/>
    <mergeCell ref="B26:B31"/>
    <mergeCell ref="C26:C28"/>
    <mergeCell ref="C29:C31"/>
    <mergeCell ref="B32:B37"/>
    <mergeCell ref="C32:C34"/>
    <mergeCell ref="C35:C37"/>
    <mergeCell ref="B38:B43"/>
    <mergeCell ref="C38:C40"/>
    <mergeCell ref="C41:C43"/>
    <mergeCell ref="Q6:R6"/>
    <mergeCell ref="E5:R5"/>
    <mergeCell ref="E6:F6"/>
    <mergeCell ref="G6:H6"/>
    <mergeCell ref="I6:J6"/>
    <mergeCell ref="K6:L6"/>
    <mergeCell ref="M6:N6"/>
    <mergeCell ref="O6:P6"/>
    <mergeCell ref="A8:A25"/>
    <mergeCell ref="B8:B13"/>
    <mergeCell ref="C8:C10"/>
    <mergeCell ref="C11:C13"/>
    <mergeCell ref="B14:B19"/>
    <mergeCell ref="C14:C16"/>
    <mergeCell ref="C17:C19"/>
    <mergeCell ref="B20:B25"/>
    <mergeCell ref="C20:C22"/>
    <mergeCell ref="C23:C25"/>
  </mergeCells>
  <pageMargins left="0.7" right="0.7" top="0.75" bottom="0.75" header="0.3" footer="0.3"/>
  <pageSetup paperSize="9"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3:Q35"/>
  <sheetViews>
    <sheetView showGridLines="0" tabSelected="1" zoomScale="80" zoomScaleNormal="80" workbookViewId="0">
      <selection activeCell="A45" sqref="A45"/>
    </sheetView>
  </sheetViews>
  <sheetFormatPr defaultColWidth="8.85546875" defaultRowHeight="15" x14ac:dyDescent="0.25"/>
  <cols>
    <col min="1" max="1" width="14.42578125" customWidth="1"/>
    <col min="3" max="3" width="39.28515625" bestFit="1" customWidth="1"/>
    <col min="18" max="18" width="4" customWidth="1"/>
  </cols>
  <sheetData>
    <row r="3" spans="1:17" x14ac:dyDescent="0.25">
      <c r="A3" s="13"/>
      <c r="B3" s="28"/>
      <c r="C3" s="31"/>
      <c r="D3" s="111" t="s">
        <v>174</v>
      </c>
      <c r="E3" s="112"/>
      <c r="F3" s="112"/>
      <c r="G3" s="112"/>
      <c r="H3" s="112"/>
      <c r="I3" s="112"/>
      <c r="J3" s="112"/>
      <c r="K3" s="112"/>
      <c r="L3" s="112"/>
      <c r="M3" s="112"/>
      <c r="N3" s="112"/>
      <c r="O3" s="112"/>
      <c r="P3" s="112"/>
      <c r="Q3" s="113"/>
    </row>
    <row r="4" spans="1:17" x14ac:dyDescent="0.25">
      <c r="A4" s="14"/>
      <c r="B4" s="29"/>
      <c r="C4" s="100" t="s">
        <v>419</v>
      </c>
      <c r="D4" s="116">
        <v>2008</v>
      </c>
      <c r="E4" s="114"/>
      <c r="F4" s="96">
        <v>2010</v>
      </c>
      <c r="G4" s="95"/>
      <c r="H4" s="114">
        <v>2012</v>
      </c>
      <c r="I4" s="114"/>
      <c r="J4" s="96">
        <v>2014</v>
      </c>
      <c r="K4" s="95"/>
      <c r="L4" s="114">
        <v>2016</v>
      </c>
      <c r="M4" s="114"/>
      <c r="N4" s="96">
        <v>2018</v>
      </c>
      <c r="O4" s="95"/>
      <c r="P4" s="114">
        <v>2020</v>
      </c>
      <c r="Q4" s="115"/>
    </row>
    <row r="5" spans="1:17" x14ac:dyDescent="0.25">
      <c r="A5" s="15"/>
      <c r="B5" s="30"/>
      <c r="C5" s="93"/>
      <c r="D5" s="24" t="s">
        <v>11</v>
      </c>
      <c r="E5" s="6" t="s">
        <v>12</v>
      </c>
      <c r="F5" s="24" t="s">
        <v>11</v>
      </c>
      <c r="G5" s="16" t="s">
        <v>12</v>
      </c>
      <c r="H5" s="6" t="s">
        <v>11</v>
      </c>
      <c r="I5" s="6" t="s">
        <v>12</v>
      </c>
      <c r="J5" s="24" t="s">
        <v>11</v>
      </c>
      <c r="K5" s="16" t="s">
        <v>12</v>
      </c>
      <c r="L5" s="6" t="s">
        <v>11</v>
      </c>
      <c r="M5" s="6" t="s">
        <v>12</v>
      </c>
      <c r="N5" s="24" t="s">
        <v>11</v>
      </c>
      <c r="O5" s="16" t="s">
        <v>12</v>
      </c>
      <c r="P5" s="6" t="s">
        <v>11</v>
      </c>
      <c r="Q5" s="16" t="s">
        <v>12</v>
      </c>
    </row>
    <row r="6" spans="1:17" x14ac:dyDescent="0.25">
      <c r="A6" s="110" t="s">
        <v>0</v>
      </c>
      <c r="B6" s="101" t="s">
        <v>269</v>
      </c>
      <c r="C6" s="32" t="s">
        <v>5</v>
      </c>
      <c r="D6" s="33" t="s">
        <v>395</v>
      </c>
      <c r="E6" s="34" t="s">
        <v>133</v>
      </c>
      <c r="F6" s="33" t="s">
        <v>283</v>
      </c>
      <c r="G6" s="35" t="s">
        <v>133</v>
      </c>
      <c r="H6" s="34" t="s">
        <v>396</v>
      </c>
      <c r="I6" s="34" t="s">
        <v>42</v>
      </c>
      <c r="J6" s="33" t="s">
        <v>291</v>
      </c>
      <c r="K6" s="35" t="s">
        <v>53</v>
      </c>
      <c r="L6" s="34" t="s">
        <v>193</v>
      </c>
      <c r="M6" s="34" t="s">
        <v>99</v>
      </c>
      <c r="N6" s="33" t="s">
        <v>397</v>
      </c>
      <c r="O6" s="35" t="s">
        <v>53</v>
      </c>
      <c r="P6" s="34" t="s">
        <v>311</v>
      </c>
      <c r="Q6" s="35" t="s">
        <v>50</v>
      </c>
    </row>
    <row r="7" spans="1:17" x14ac:dyDescent="0.25">
      <c r="A7" s="108"/>
      <c r="B7" s="102"/>
      <c r="C7" s="36" t="s">
        <v>104</v>
      </c>
      <c r="D7" s="37" t="s">
        <v>234</v>
      </c>
      <c r="E7" s="38" t="s">
        <v>47</v>
      </c>
      <c r="F7" s="37" t="s">
        <v>102</v>
      </c>
      <c r="G7" s="39" t="s">
        <v>42</v>
      </c>
      <c r="H7" s="38" t="s">
        <v>162</v>
      </c>
      <c r="I7" s="38" t="s">
        <v>99</v>
      </c>
      <c r="J7" s="37" t="s">
        <v>114</v>
      </c>
      <c r="K7" s="39" t="s">
        <v>99</v>
      </c>
      <c r="L7" s="38" t="s">
        <v>398</v>
      </c>
      <c r="M7" s="38" t="s">
        <v>18</v>
      </c>
      <c r="N7" s="37" t="s">
        <v>147</v>
      </c>
      <c r="O7" s="39" t="s">
        <v>99</v>
      </c>
      <c r="P7" s="38" t="s">
        <v>108</v>
      </c>
      <c r="Q7" s="39" t="s">
        <v>50</v>
      </c>
    </row>
    <row r="8" spans="1:17" x14ac:dyDescent="0.25">
      <c r="A8" s="108"/>
      <c r="B8" s="102"/>
      <c r="C8" s="36" t="s">
        <v>134</v>
      </c>
      <c r="D8" s="37" t="s">
        <v>291</v>
      </c>
      <c r="E8" s="38" t="s">
        <v>53</v>
      </c>
      <c r="F8" s="37" t="s">
        <v>90</v>
      </c>
      <c r="G8" s="39" t="s">
        <v>47</v>
      </c>
      <c r="H8" s="38" t="s">
        <v>301</v>
      </c>
      <c r="I8" s="38" t="s">
        <v>47</v>
      </c>
      <c r="J8" s="37" t="s">
        <v>138</v>
      </c>
      <c r="K8" s="39" t="s">
        <v>55</v>
      </c>
      <c r="L8" s="38" t="s">
        <v>399</v>
      </c>
      <c r="M8" s="38" t="s">
        <v>53</v>
      </c>
      <c r="N8" s="37" t="s">
        <v>240</v>
      </c>
      <c r="O8" s="39" t="s">
        <v>25</v>
      </c>
      <c r="P8" s="38" t="s">
        <v>139</v>
      </c>
      <c r="Q8" s="39" t="s">
        <v>43</v>
      </c>
    </row>
    <row r="9" spans="1:17" x14ac:dyDescent="0.25">
      <c r="A9" s="108"/>
      <c r="B9" s="102"/>
      <c r="C9" s="36" t="s">
        <v>296</v>
      </c>
      <c r="D9" s="37" t="s">
        <v>295</v>
      </c>
      <c r="E9" s="38" t="s">
        <v>25</v>
      </c>
      <c r="F9" s="37" t="s">
        <v>123</v>
      </c>
      <c r="G9" s="39" t="s">
        <v>53</v>
      </c>
      <c r="H9" s="38" t="s">
        <v>196</v>
      </c>
      <c r="I9" s="38" t="s">
        <v>25</v>
      </c>
      <c r="J9" s="37" t="s">
        <v>314</v>
      </c>
      <c r="K9" s="39" t="s">
        <v>47</v>
      </c>
      <c r="L9" s="38" t="s">
        <v>314</v>
      </c>
      <c r="M9" s="38" t="s">
        <v>18</v>
      </c>
      <c r="N9" s="37" t="s">
        <v>15</v>
      </c>
      <c r="O9" s="39" t="s">
        <v>18</v>
      </c>
      <c r="P9" s="38" t="s">
        <v>251</v>
      </c>
      <c r="Q9" s="39" t="s">
        <v>34</v>
      </c>
    </row>
    <row r="10" spans="1:17" x14ac:dyDescent="0.25">
      <c r="A10" s="108"/>
      <c r="B10" s="103"/>
      <c r="C10" s="40" t="s">
        <v>297</v>
      </c>
      <c r="D10" s="41" t="s">
        <v>51</v>
      </c>
      <c r="E10" s="42" t="s">
        <v>52</v>
      </c>
      <c r="F10" s="41" t="s">
        <v>51</v>
      </c>
      <c r="G10" s="43" t="s">
        <v>52</v>
      </c>
      <c r="H10" s="42" t="s">
        <v>51</v>
      </c>
      <c r="I10" s="42" t="s">
        <v>52</v>
      </c>
      <c r="J10" s="41" t="s">
        <v>51</v>
      </c>
      <c r="K10" s="43" t="s">
        <v>52</v>
      </c>
      <c r="L10" s="42" t="s">
        <v>51</v>
      </c>
      <c r="M10" s="42" t="s">
        <v>52</v>
      </c>
      <c r="N10" s="41" t="s">
        <v>51</v>
      </c>
      <c r="O10" s="43" t="s">
        <v>52</v>
      </c>
      <c r="P10" s="42" t="s">
        <v>51</v>
      </c>
      <c r="Q10" s="43" t="s">
        <v>52</v>
      </c>
    </row>
    <row r="11" spans="1:17" x14ac:dyDescent="0.25">
      <c r="A11" s="108"/>
      <c r="B11" s="110" t="s">
        <v>270</v>
      </c>
      <c r="C11" s="21" t="s">
        <v>5</v>
      </c>
      <c r="D11" s="25" t="s">
        <v>285</v>
      </c>
      <c r="E11" s="19" t="s">
        <v>59</v>
      </c>
      <c r="F11" s="25" t="s">
        <v>226</v>
      </c>
      <c r="G11" s="20" t="s">
        <v>50</v>
      </c>
      <c r="H11" s="19" t="s">
        <v>112</v>
      </c>
      <c r="I11" s="19" t="s">
        <v>59</v>
      </c>
      <c r="J11" s="25" t="s">
        <v>305</v>
      </c>
      <c r="K11" s="20" t="s">
        <v>43</v>
      </c>
      <c r="L11" s="19" t="s">
        <v>302</v>
      </c>
      <c r="M11" s="19" t="s">
        <v>59</v>
      </c>
      <c r="N11" s="25" t="s">
        <v>243</v>
      </c>
      <c r="O11" s="20" t="s">
        <v>50</v>
      </c>
      <c r="P11" s="19" t="s">
        <v>243</v>
      </c>
      <c r="Q11" s="20" t="s">
        <v>45</v>
      </c>
    </row>
    <row r="12" spans="1:17" x14ac:dyDescent="0.25">
      <c r="A12" s="108"/>
      <c r="B12" s="108"/>
      <c r="C12" s="22" t="s">
        <v>104</v>
      </c>
      <c r="D12" s="26" t="s">
        <v>22</v>
      </c>
      <c r="E12" s="9" t="s">
        <v>50</v>
      </c>
      <c r="F12" s="26" t="s">
        <v>400</v>
      </c>
      <c r="G12" s="17" t="s">
        <v>50</v>
      </c>
      <c r="H12" s="9" t="s">
        <v>310</v>
      </c>
      <c r="I12" s="9" t="s">
        <v>50</v>
      </c>
      <c r="J12" s="26" t="s">
        <v>13</v>
      </c>
      <c r="K12" s="17" t="s">
        <v>59</v>
      </c>
      <c r="L12" s="9" t="s">
        <v>251</v>
      </c>
      <c r="M12" s="9" t="s">
        <v>50</v>
      </c>
      <c r="N12" s="26" t="s">
        <v>241</v>
      </c>
      <c r="O12" s="17" t="s">
        <v>59</v>
      </c>
      <c r="P12" s="9" t="s">
        <v>314</v>
      </c>
      <c r="Q12" s="17" t="s">
        <v>45</v>
      </c>
    </row>
    <row r="13" spans="1:17" x14ac:dyDescent="0.25">
      <c r="A13" s="108"/>
      <c r="B13" s="108"/>
      <c r="C13" s="22" t="s">
        <v>134</v>
      </c>
      <c r="D13" s="26" t="s">
        <v>143</v>
      </c>
      <c r="E13" s="9" t="s">
        <v>65</v>
      </c>
      <c r="F13" s="26" t="s">
        <v>46</v>
      </c>
      <c r="G13" s="17" t="s">
        <v>66</v>
      </c>
      <c r="H13" s="9" t="s">
        <v>143</v>
      </c>
      <c r="I13" s="9" t="s">
        <v>65</v>
      </c>
      <c r="J13" s="26" t="s">
        <v>117</v>
      </c>
      <c r="K13" s="17" t="s">
        <v>66</v>
      </c>
      <c r="L13" s="9" t="s">
        <v>117</v>
      </c>
      <c r="M13" s="9" t="s">
        <v>66</v>
      </c>
      <c r="N13" s="26" t="s">
        <v>46</v>
      </c>
      <c r="O13" s="17" t="s">
        <v>65</v>
      </c>
      <c r="P13" s="9" t="s">
        <v>88</v>
      </c>
      <c r="Q13" s="17" t="s">
        <v>66</v>
      </c>
    </row>
    <row r="14" spans="1:17" x14ac:dyDescent="0.25">
      <c r="A14" s="108"/>
      <c r="B14" s="108"/>
      <c r="C14" s="22" t="s">
        <v>296</v>
      </c>
      <c r="D14" s="26" t="s">
        <v>311</v>
      </c>
      <c r="E14" s="9" t="s">
        <v>59</v>
      </c>
      <c r="F14" s="26" t="s">
        <v>272</v>
      </c>
      <c r="G14" s="17" t="s">
        <v>59</v>
      </c>
      <c r="H14" s="9" t="s">
        <v>401</v>
      </c>
      <c r="I14" s="9" t="s">
        <v>59</v>
      </c>
      <c r="J14" s="26" t="s">
        <v>307</v>
      </c>
      <c r="K14" s="17" t="s">
        <v>59</v>
      </c>
      <c r="L14" s="9" t="s">
        <v>402</v>
      </c>
      <c r="M14" s="9" t="s">
        <v>59</v>
      </c>
      <c r="N14" s="26" t="s">
        <v>325</v>
      </c>
      <c r="O14" s="17" t="s">
        <v>59</v>
      </c>
      <c r="P14" s="9" t="s">
        <v>403</v>
      </c>
      <c r="Q14" s="17" t="s">
        <v>45</v>
      </c>
    </row>
    <row r="15" spans="1:17" x14ac:dyDescent="0.25">
      <c r="A15" s="109"/>
      <c r="B15" s="109"/>
      <c r="C15" s="23" t="s">
        <v>297</v>
      </c>
      <c r="D15" s="27" t="s">
        <v>51</v>
      </c>
      <c r="E15" s="11" t="s">
        <v>52</v>
      </c>
      <c r="F15" s="27" t="s">
        <v>51</v>
      </c>
      <c r="G15" s="18" t="s">
        <v>52</v>
      </c>
      <c r="H15" s="11" t="s">
        <v>51</v>
      </c>
      <c r="I15" s="11" t="s">
        <v>52</v>
      </c>
      <c r="J15" s="27" t="s">
        <v>51</v>
      </c>
      <c r="K15" s="18" t="s">
        <v>52</v>
      </c>
      <c r="L15" s="11" t="s">
        <v>51</v>
      </c>
      <c r="M15" s="11" t="s">
        <v>52</v>
      </c>
      <c r="N15" s="27" t="s">
        <v>51</v>
      </c>
      <c r="O15" s="18" t="s">
        <v>52</v>
      </c>
      <c r="P15" s="11" t="s">
        <v>51</v>
      </c>
      <c r="Q15" s="18" t="s">
        <v>52</v>
      </c>
    </row>
    <row r="16" spans="1:17" x14ac:dyDescent="0.25">
      <c r="A16" s="110" t="s">
        <v>1</v>
      </c>
      <c r="B16" s="89" t="s">
        <v>269</v>
      </c>
      <c r="C16" s="44" t="s">
        <v>5</v>
      </c>
      <c r="D16" s="33" t="s">
        <v>404</v>
      </c>
      <c r="E16" s="34" t="s">
        <v>25</v>
      </c>
      <c r="F16" s="33" t="s">
        <v>405</v>
      </c>
      <c r="G16" s="35" t="s">
        <v>25</v>
      </c>
      <c r="H16" s="34" t="s">
        <v>396</v>
      </c>
      <c r="I16" s="34" t="s">
        <v>55</v>
      </c>
      <c r="J16" s="33" t="s">
        <v>157</v>
      </c>
      <c r="K16" s="35" t="s">
        <v>47</v>
      </c>
      <c r="L16" s="34" t="s">
        <v>298</v>
      </c>
      <c r="M16" s="34" t="s">
        <v>42</v>
      </c>
      <c r="N16" s="33" t="s">
        <v>121</v>
      </c>
      <c r="O16" s="35" t="s">
        <v>53</v>
      </c>
      <c r="P16" s="34" t="s">
        <v>165</v>
      </c>
      <c r="Q16" s="35" t="s">
        <v>43</v>
      </c>
    </row>
    <row r="17" spans="1:17" x14ac:dyDescent="0.25">
      <c r="A17" s="108"/>
      <c r="B17" s="90"/>
      <c r="C17" s="45" t="s">
        <v>104</v>
      </c>
      <c r="D17" s="37" t="s">
        <v>162</v>
      </c>
      <c r="E17" s="38" t="s">
        <v>42</v>
      </c>
      <c r="F17" s="37" t="s">
        <v>406</v>
      </c>
      <c r="G17" s="39" t="s">
        <v>55</v>
      </c>
      <c r="H17" s="38" t="s">
        <v>130</v>
      </c>
      <c r="I17" s="38" t="s">
        <v>53</v>
      </c>
      <c r="J17" s="37" t="s">
        <v>97</v>
      </c>
      <c r="K17" s="39" t="s">
        <v>55</v>
      </c>
      <c r="L17" s="38" t="s">
        <v>237</v>
      </c>
      <c r="M17" s="38" t="s">
        <v>25</v>
      </c>
      <c r="N17" s="37" t="s">
        <v>77</v>
      </c>
      <c r="O17" s="39" t="s">
        <v>55</v>
      </c>
      <c r="P17" s="38" t="s">
        <v>109</v>
      </c>
      <c r="Q17" s="39" t="s">
        <v>59</v>
      </c>
    </row>
    <row r="18" spans="1:17" x14ac:dyDescent="0.25">
      <c r="A18" s="108"/>
      <c r="B18" s="90"/>
      <c r="C18" s="45" t="s">
        <v>134</v>
      </c>
      <c r="D18" s="37" t="s">
        <v>407</v>
      </c>
      <c r="E18" s="38" t="s">
        <v>42</v>
      </c>
      <c r="F18" s="37" t="s">
        <v>408</v>
      </c>
      <c r="G18" s="39" t="s">
        <v>55</v>
      </c>
      <c r="H18" s="38" t="s">
        <v>221</v>
      </c>
      <c r="I18" s="38" t="s">
        <v>55</v>
      </c>
      <c r="J18" s="37" t="s">
        <v>409</v>
      </c>
      <c r="K18" s="39" t="s">
        <v>34</v>
      </c>
      <c r="L18" s="38" t="s">
        <v>229</v>
      </c>
      <c r="M18" s="38" t="s">
        <v>55</v>
      </c>
      <c r="N18" s="37" t="s">
        <v>410</v>
      </c>
      <c r="O18" s="39" t="s">
        <v>99</v>
      </c>
      <c r="P18" s="38" t="s">
        <v>222</v>
      </c>
      <c r="Q18" s="39" t="s">
        <v>50</v>
      </c>
    </row>
    <row r="19" spans="1:17" x14ac:dyDescent="0.25">
      <c r="A19" s="108"/>
      <c r="B19" s="90"/>
      <c r="C19" s="45" t="s">
        <v>296</v>
      </c>
      <c r="D19" s="37" t="s">
        <v>233</v>
      </c>
      <c r="E19" s="38" t="s">
        <v>53</v>
      </c>
      <c r="F19" s="37" t="s">
        <v>293</v>
      </c>
      <c r="G19" s="39" t="s">
        <v>47</v>
      </c>
      <c r="H19" s="38" t="s">
        <v>319</v>
      </c>
      <c r="I19" s="38" t="s">
        <v>47</v>
      </c>
      <c r="J19" s="37" t="s">
        <v>194</v>
      </c>
      <c r="K19" s="39" t="s">
        <v>53</v>
      </c>
      <c r="L19" s="38" t="s">
        <v>411</v>
      </c>
      <c r="M19" s="38" t="s">
        <v>18</v>
      </c>
      <c r="N19" s="37" t="s">
        <v>230</v>
      </c>
      <c r="O19" s="39" t="s">
        <v>25</v>
      </c>
      <c r="P19" s="38" t="s">
        <v>70</v>
      </c>
      <c r="Q19" s="39" t="s">
        <v>34</v>
      </c>
    </row>
    <row r="20" spans="1:17" x14ac:dyDescent="0.25">
      <c r="A20" s="108"/>
      <c r="B20" s="91"/>
      <c r="C20" s="46" t="s">
        <v>297</v>
      </c>
      <c r="D20" s="41" t="s">
        <v>51</v>
      </c>
      <c r="E20" s="42" t="s">
        <v>52</v>
      </c>
      <c r="F20" s="41" t="s">
        <v>51</v>
      </c>
      <c r="G20" s="43" t="s">
        <v>52</v>
      </c>
      <c r="H20" s="42" t="s">
        <v>51</v>
      </c>
      <c r="I20" s="42" t="s">
        <v>52</v>
      </c>
      <c r="J20" s="41" t="s">
        <v>51</v>
      </c>
      <c r="K20" s="43" t="s">
        <v>52</v>
      </c>
      <c r="L20" s="42" t="s">
        <v>51</v>
      </c>
      <c r="M20" s="42" t="s">
        <v>52</v>
      </c>
      <c r="N20" s="41" t="s">
        <v>51</v>
      </c>
      <c r="O20" s="43" t="s">
        <v>52</v>
      </c>
      <c r="P20" s="42" t="s">
        <v>51</v>
      </c>
      <c r="Q20" s="43" t="s">
        <v>52</v>
      </c>
    </row>
    <row r="21" spans="1:17" x14ac:dyDescent="0.25">
      <c r="A21" s="108"/>
      <c r="B21" s="92" t="s">
        <v>270</v>
      </c>
      <c r="C21" s="8" t="s">
        <v>5</v>
      </c>
      <c r="D21" s="26" t="s">
        <v>299</v>
      </c>
      <c r="E21" s="9" t="s">
        <v>59</v>
      </c>
      <c r="F21" s="26" t="s">
        <v>70</v>
      </c>
      <c r="G21" s="17" t="s">
        <v>43</v>
      </c>
      <c r="H21" s="9" t="s">
        <v>196</v>
      </c>
      <c r="I21" s="9" t="s">
        <v>59</v>
      </c>
      <c r="J21" s="26" t="s">
        <v>292</v>
      </c>
      <c r="K21" s="17" t="s">
        <v>43</v>
      </c>
      <c r="L21" s="9" t="s">
        <v>309</v>
      </c>
      <c r="M21" s="9" t="s">
        <v>59</v>
      </c>
      <c r="N21" s="26" t="s">
        <v>241</v>
      </c>
      <c r="O21" s="17" t="s">
        <v>50</v>
      </c>
      <c r="P21" s="9" t="s">
        <v>173</v>
      </c>
      <c r="Q21" s="17" t="s">
        <v>62</v>
      </c>
    </row>
    <row r="22" spans="1:17" x14ac:dyDescent="0.25">
      <c r="A22" s="108"/>
      <c r="B22" s="92"/>
      <c r="C22" s="8" t="s">
        <v>104</v>
      </c>
      <c r="D22" s="26" t="s">
        <v>289</v>
      </c>
      <c r="E22" s="9" t="s">
        <v>50</v>
      </c>
      <c r="F22" s="26" t="s">
        <v>411</v>
      </c>
      <c r="G22" s="17" t="s">
        <v>50</v>
      </c>
      <c r="H22" s="9" t="s">
        <v>290</v>
      </c>
      <c r="I22" s="9" t="s">
        <v>50</v>
      </c>
      <c r="J22" s="26" t="s">
        <v>225</v>
      </c>
      <c r="K22" s="17" t="s">
        <v>50</v>
      </c>
      <c r="L22" s="9" t="s">
        <v>282</v>
      </c>
      <c r="M22" s="9" t="s">
        <v>50</v>
      </c>
      <c r="N22" s="26" t="s">
        <v>304</v>
      </c>
      <c r="O22" s="17" t="s">
        <v>59</v>
      </c>
      <c r="P22" s="9" t="s">
        <v>226</v>
      </c>
      <c r="Q22" s="17" t="s">
        <v>45</v>
      </c>
    </row>
    <row r="23" spans="1:17" x14ac:dyDescent="0.25">
      <c r="A23" s="108"/>
      <c r="B23" s="92"/>
      <c r="C23" s="8" t="s">
        <v>134</v>
      </c>
      <c r="D23" s="26" t="s">
        <v>286</v>
      </c>
      <c r="E23" s="9" t="s">
        <v>65</v>
      </c>
      <c r="F23" s="26" t="s">
        <v>132</v>
      </c>
      <c r="G23" s="17" t="s">
        <v>65</v>
      </c>
      <c r="H23" s="9" t="s">
        <v>143</v>
      </c>
      <c r="I23" s="9" t="s">
        <v>65</v>
      </c>
      <c r="J23" s="26" t="s">
        <v>86</v>
      </c>
      <c r="K23" s="17" t="s">
        <v>66</v>
      </c>
      <c r="L23" s="9" t="s">
        <v>117</v>
      </c>
      <c r="M23" s="9" t="s">
        <v>45</v>
      </c>
      <c r="N23" s="26" t="s">
        <v>143</v>
      </c>
      <c r="O23" s="17" t="s">
        <v>65</v>
      </c>
      <c r="P23" s="9" t="s">
        <v>144</v>
      </c>
      <c r="Q23" s="17" t="s">
        <v>66</v>
      </c>
    </row>
    <row r="24" spans="1:17" x14ac:dyDescent="0.25">
      <c r="A24" s="108"/>
      <c r="B24" s="92"/>
      <c r="C24" s="8" t="s">
        <v>296</v>
      </c>
      <c r="D24" s="26" t="s">
        <v>412</v>
      </c>
      <c r="E24" s="9" t="s">
        <v>59</v>
      </c>
      <c r="F24" s="26" t="s">
        <v>121</v>
      </c>
      <c r="G24" s="17" t="s">
        <v>59</v>
      </c>
      <c r="H24" s="9" t="s">
        <v>156</v>
      </c>
      <c r="I24" s="9" t="s">
        <v>59</v>
      </c>
      <c r="J24" s="26" t="s">
        <v>326</v>
      </c>
      <c r="K24" s="17" t="s">
        <v>59</v>
      </c>
      <c r="L24" s="9" t="s">
        <v>413</v>
      </c>
      <c r="M24" s="9" t="s">
        <v>59</v>
      </c>
      <c r="N24" s="26" t="s">
        <v>395</v>
      </c>
      <c r="O24" s="17" t="s">
        <v>59</v>
      </c>
      <c r="P24" s="9" t="s">
        <v>276</v>
      </c>
      <c r="Q24" s="17" t="s">
        <v>45</v>
      </c>
    </row>
    <row r="25" spans="1:17" x14ac:dyDescent="0.25">
      <c r="A25" s="109"/>
      <c r="B25" s="93"/>
      <c r="C25" s="10" t="s">
        <v>297</v>
      </c>
      <c r="D25" s="27" t="s">
        <v>51</v>
      </c>
      <c r="E25" s="11" t="s">
        <v>52</v>
      </c>
      <c r="F25" s="27" t="s">
        <v>51</v>
      </c>
      <c r="G25" s="18" t="s">
        <v>52</v>
      </c>
      <c r="H25" s="11" t="s">
        <v>51</v>
      </c>
      <c r="I25" s="11" t="s">
        <v>52</v>
      </c>
      <c r="J25" s="27" t="s">
        <v>51</v>
      </c>
      <c r="K25" s="18" t="s">
        <v>52</v>
      </c>
      <c r="L25" s="11" t="s">
        <v>51</v>
      </c>
      <c r="M25" s="11" t="s">
        <v>52</v>
      </c>
      <c r="N25" s="27" t="s">
        <v>51</v>
      </c>
      <c r="O25" s="18" t="s">
        <v>52</v>
      </c>
      <c r="P25" s="11" t="s">
        <v>51</v>
      </c>
      <c r="Q25" s="18" t="s">
        <v>52</v>
      </c>
    </row>
    <row r="26" spans="1:17" x14ac:dyDescent="0.25">
      <c r="A26" s="108" t="s">
        <v>2</v>
      </c>
      <c r="B26" s="89" t="s">
        <v>269</v>
      </c>
      <c r="C26" s="44" t="s">
        <v>5</v>
      </c>
      <c r="D26" s="33" t="s">
        <v>231</v>
      </c>
      <c r="E26" s="34" t="s">
        <v>125</v>
      </c>
      <c r="F26" s="33" t="s">
        <v>276</v>
      </c>
      <c r="G26" s="35" t="s">
        <v>18</v>
      </c>
      <c r="H26" s="34" t="s">
        <v>75</v>
      </c>
      <c r="I26" s="34" t="s">
        <v>53</v>
      </c>
      <c r="J26" s="33" t="s">
        <v>414</v>
      </c>
      <c r="K26" s="35" t="s">
        <v>18</v>
      </c>
      <c r="L26" s="34" t="s">
        <v>291</v>
      </c>
      <c r="M26" s="34" t="s">
        <v>25</v>
      </c>
      <c r="N26" s="33" t="s">
        <v>396</v>
      </c>
      <c r="O26" s="35" t="s">
        <v>80</v>
      </c>
      <c r="P26" s="34" t="s">
        <v>284</v>
      </c>
      <c r="Q26" s="35" t="s">
        <v>34</v>
      </c>
    </row>
    <row r="27" spans="1:17" x14ac:dyDescent="0.25">
      <c r="A27" s="108"/>
      <c r="B27" s="90"/>
      <c r="C27" s="45" t="s">
        <v>104</v>
      </c>
      <c r="D27" s="37" t="s">
        <v>79</v>
      </c>
      <c r="E27" s="38" t="s">
        <v>53</v>
      </c>
      <c r="F27" s="37" t="s">
        <v>58</v>
      </c>
      <c r="G27" s="39" t="s">
        <v>53</v>
      </c>
      <c r="H27" s="38" t="s">
        <v>219</v>
      </c>
      <c r="I27" s="38" t="s">
        <v>47</v>
      </c>
      <c r="J27" s="37" t="s">
        <v>95</v>
      </c>
      <c r="K27" s="39" t="s">
        <v>25</v>
      </c>
      <c r="L27" s="38" t="s">
        <v>82</v>
      </c>
      <c r="M27" s="38" t="s">
        <v>25</v>
      </c>
      <c r="N27" s="37" t="s">
        <v>28</v>
      </c>
      <c r="O27" s="39" t="s">
        <v>99</v>
      </c>
      <c r="P27" s="38" t="s">
        <v>87</v>
      </c>
      <c r="Q27" s="39" t="s">
        <v>50</v>
      </c>
    </row>
    <row r="28" spans="1:17" x14ac:dyDescent="0.25">
      <c r="A28" s="108"/>
      <c r="B28" s="90"/>
      <c r="C28" s="45" t="s">
        <v>134</v>
      </c>
      <c r="D28" s="37" t="s">
        <v>161</v>
      </c>
      <c r="E28" s="38" t="s">
        <v>25</v>
      </c>
      <c r="F28" s="37" t="s">
        <v>292</v>
      </c>
      <c r="G28" s="39" t="s">
        <v>133</v>
      </c>
      <c r="H28" s="38" t="s">
        <v>306</v>
      </c>
      <c r="I28" s="38" t="s">
        <v>18</v>
      </c>
      <c r="J28" s="37" t="s">
        <v>238</v>
      </c>
      <c r="K28" s="39" t="s">
        <v>53</v>
      </c>
      <c r="L28" s="38" t="s">
        <v>156</v>
      </c>
      <c r="M28" s="38" t="s">
        <v>80</v>
      </c>
      <c r="N28" s="37" t="s">
        <v>412</v>
      </c>
      <c r="O28" s="39" t="s">
        <v>133</v>
      </c>
      <c r="P28" s="38" t="s">
        <v>300</v>
      </c>
      <c r="Q28" s="39" t="s">
        <v>34</v>
      </c>
    </row>
    <row r="29" spans="1:17" x14ac:dyDescent="0.25">
      <c r="A29" s="108"/>
      <c r="B29" s="90"/>
      <c r="C29" s="45" t="s">
        <v>296</v>
      </c>
      <c r="D29" s="37" t="s">
        <v>273</v>
      </c>
      <c r="E29" s="38" t="s">
        <v>53</v>
      </c>
      <c r="F29" s="37" t="s">
        <v>294</v>
      </c>
      <c r="G29" s="39" t="s">
        <v>25</v>
      </c>
      <c r="H29" s="38" t="s">
        <v>325</v>
      </c>
      <c r="I29" s="38" t="s">
        <v>25</v>
      </c>
      <c r="J29" s="37" t="s">
        <v>172</v>
      </c>
      <c r="K29" s="39" t="s">
        <v>25</v>
      </c>
      <c r="L29" s="38" t="s">
        <v>122</v>
      </c>
      <c r="M29" s="38" t="s">
        <v>80</v>
      </c>
      <c r="N29" s="37" t="s">
        <v>196</v>
      </c>
      <c r="O29" s="39" t="s">
        <v>80</v>
      </c>
      <c r="P29" s="38" t="s">
        <v>302</v>
      </c>
      <c r="Q29" s="39" t="s">
        <v>55</v>
      </c>
    </row>
    <row r="30" spans="1:17" x14ac:dyDescent="0.25">
      <c r="A30" s="108"/>
      <c r="B30" s="91"/>
      <c r="C30" s="46" t="s">
        <v>297</v>
      </c>
      <c r="D30" s="41" t="s">
        <v>51</v>
      </c>
      <c r="E30" s="42" t="s">
        <v>52</v>
      </c>
      <c r="F30" s="41" t="s">
        <v>51</v>
      </c>
      <c r="G30" s="43" t="s">
        <v>52</v>
      </c>
      <c r="H30" s="42" t="s">
        <v>51</v>
      </c>
      <c r="I30" s="42" t="s">
        <v>52</v>
      </c>
      <c r="J30" s="41" t="s">
        <v>51</v>
      </c>
      <c r="K30" s="43" t="s">
        <v>52</v>
      </c>
      <c r="L30" s="42" t="s">
        <v>51</v>
      </c>
      <c r="M30" s="42" t="s">
        <v>52</v>
      </c>
      <c r="N30" s="41" t="s">
        <v>51</v>
      </c>
      <c r="O30" s="43" t="s">
        <v>52</v>
      </c>
      <c r="P30" s="42" t="s">
        <v>51</v>
      </c>
      <c r="Q30" s="43" t="s">
        <v>52</v>
      </c>
    </row>
    <row r="31" spans="1:17" x14ac:dyDescent="0.25">
      <c r="A31" s="108"/>
      <c r="B31" s="92" t="s">
        <v>270</v>
      </c>
      <c r="C31" s="8" t="s">
        <v>5</v>
      </c>
      <c r="D31" s="26" t="s">
        <v>251</v>
      </c>
      <c r="E31" s="9" t="s">
        <v>59</v>
      </c>
      <c r="F31" s="26" t="s">
        <v>13</v>
      </c>
      <c r="G31" s="17" t="s">
        <v>43</v>
      </c>
      <c r="H31" s="9" t="s">
        <v>68</v>
      </c>
      <c r="I31" s="9" t="s">
        <v>59</v>
      </c>
      <c r="J31" s="26" t="s">
        <v>305</v>
      </c>
      <c r="K31" s="17" t="s">
        <v>50</v>
      </c>
      <c r="L31" s="9" t="s">
        <v>241</v>
      </c>
      <c r="M31" s="9" t="s">
        <v>61</v>
      </c>
      <c r="N31" s="26" t="s">
        <v>122</v>
      </c>
      <c r="O31" s="17" t="s">
        <v>59</v>
      </c>
      <c r="P31" s="9" t="s">
        <v>303</v>
      </c>
      <c r="Q31" s="17" t="s">
        <v>45</v>
      </c>
    </row>
    <row r="32" spans="1:17" x14ac:dyDescent="0.25">
      <c r="A32" s="108"/>
      <c r="B32" s="92"/>
      <c r="C32" s="8" t="s">
        <v>104</v>
      </c>
      <c r="D32" s="26" t="s">
        <v>196</v>
      </c>
      <c r="E32" s="9" t="s">
        <v>59</v>
      </c>
      <c r="F32" s="26" t="s">
        <v>285</v>
      </c>
      <c r="G32" s="17" t="s">
        <v>59</v>
      </c>
      <c r="H32" s="9" t="s">
        <v>70</v>
      </c>
      <c r="I32" s="9" t="s">
        <v>50</v>
      </c>
      <c r="J32" s="26" t="s">
        <v>282</v>
      </c>
      <c r="K32" s="17" t="s">
        <v>59</v>
      </c>
      <c r="L32" s="9" t="s">
        <v>299</v>
      </c>
      <c r="M32" s="9" t="s">
        <v>59</v>
      </c>
      <c r="N32" s="26" t="s">
        <v>172</v>
      </c>
      <c r="O32" s="17" t="s">
        <v>59</v>
      </c>
      <c r="P32" s="9" t="s">
        <v>285</v>
      </c>
      <c r="Q32" s="17" t="s">
        <v>45</v>
      </c>
    </row>
    <row r="33" spans="1:17" x14ac:dyDescent="0.25">
      <c r="A33" s="108"/>
      <c r="B33" s="92"/>
      <c r="C33" s="8" t="s">
        <v>134</v>
      </c>
      <c r="D33" s="26" t="s">
        <v>98</v>
      </c>
      <c r="E33" s="9" t="s">
        <v>66</v>
      </c>
      <c r="F33" s="26" t="s">
        <v>127</v>
      </c>
      <c r="G33" s="17" t="s">
        <v>66</v>
      </c>
      <c r="H33" s="9" t="s">
        <v>117</v>
      </c>
      <c r="I33" s="9" t="s">
        <v>66</v>
      </c>
      <c r="J33" s="26" t="s">
        <v>127</v>
      </c>
      <c r="K33" s="17" t="s">
        <v>66</v>
      </c>
      <c r="L33" s="9" t="s">
        <v>415</v>
      </c>
      <c r="M33" s="9" t="s">
        <v>66</v>
      </c>
      <c r="N33" s="26" t="s">
        <v>127</v>
      </c>
      <c r="O33" s="17" t="s">
        <v>65</v>
      </c>
      <c r="P33" s="9" t="s">
        <v>140</v>
      </c>
      <c r="Q33" s="17" t="s">
        <v>66</v>
      </c>
    </row>
    <row r="34" spans="1:17" x14ac:dyDescent="0.25">
      <c r="A34" s="108"/>
      <c r="B34" s="92"/>
      <c r="C34" s="8" t="s">
        <v>296</v>
      </c>
      <c r="D34" s="26" t="s">
        <v>166</v>
      </c>
      <c r="E34" s="9" t="s">
        <v>59</v>
      </c>
      <c r="F34" s="26" t="s">
        <v>311</v>
      </c>
      <c r="G34" s="17" t="s">
        <v>59</v>
      </c>
      <c r="H34" s="9" t="s">
        <v>166</v>
      </c>
      <c r="I34" s="9" t="s">
        <v>59</v>
      </c>
      <c r="J34" s="26" t="s">
        <v>224</v>
      </c>
      <c r="K34" s="17" t="s">
        <v>59</v>
      </c>
      <c r="L34" s="9" t="s">
        <v>416</v>
      </c>
      <c r="M34" s="9" t="s">
        <v>59</v>
      </c>
      <c r="N34" s="26" t="s">
        <v>417</v>
      </c>
      <c r="O34" s="17" t="s">
        <v>59</v>
      </c>
      <c r="P34" s="9" t="s">
        <v>284</v>
      </c>
      <c r="Q34" s="17" t="s">
        <v>45</v>
      </c>
    </row>
    <row r="35" spans="1:17" x14ac:dyDescent="0.25">
      <c r="A35" s="109"/>
      <c r="B35" s="93"/>
      <c r="C35" s="10" t="s">
        <v>297</v>
      </c>
      <c r="D35" s="27" t="s">
        <v>51</v>
      </c>
      <c r="E35" s="11" t="s">
        <v>52</v>
      </c>
      <c r="F35" s="27" t="s">
        <v>51</v>
      </c>
      <c r="G35" s="18" t="s">
        <v>52</v>
      </c>
      <c r="H35" s="11" t="s">
        <v>51</v>
      </c>
      <c r="I35" s="11" t="s">
        <v>52</v>
      </c>
      <c r="J35" s="27" t="s">
        <v>51</v>
      </c>
      <c r="K35" s="18" t="s">
        <v>52</v>
      </c>
      <c r="L35" s="11" t="s">
        <v>51</v>
      </c>
      <c r="M35" s="11" t="s">
        <v>52</v>
      </c>
      <c r="N35" s="27" t="s">
        <v>51</v>
      </c>
      <c r="O35" s="18" t="s">
        <v>52</v>
      </c>
      <c r="P35" s="11" t="s">
        <v>51</v>
      </c>
      <c r="Q35" s="18" t="s">
        <v>52</v>
      </c>
    </row>
  </sheetData>
  <mergeCells count="18">
    <mergeCell ref="D3:Q3"/>
    <mergeCell ref="B6:B10"/>
    <mergeCell ref="B11:B15"/>
    <mergeCell ref="B16:B20"/>
    <mergeCell ref="B21:B25"/>
    <mergeCell ref="L4:M4"/>
    <mergeCell ref="N4:O4"/>
    <mergeCell ref="P4:Q4"/>
    <mergeCell ref="D4:E4"/>
    <mergeCell ref="F4:G4"/>
    <mergeCell ref="H4:I4"/>
    <mergeCell ref="J4:K4"/>
    <mergeCell ref="C4:C5"/>
    <mergeCell ref="A26:A35"/>
    <mergeCell ref="A6:A15"/>
    <mergeCell ref="A16:A25"/>
    <mergeCell ref="B26:B30"/>
    <mergeCell ref="B31:B35"/>
  </mergeCells>
  <pageMargins left="0.7" right="0.7" top="0.75" bottom="0.75" header="0.3" footer="0.3"/>
  <pageSetup orientation="portrait" r:id="rId1"/>
  <headerFooter>
    <oddHeader>&amp;C&amp;"Calibri"&amp;10&amp;K000000IN-CONFIDENCE&amp;1#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Disclaimer</vt:lpstr>
      <vt:lpstr>Ethnicity</vt:lpstr>
      <vt:lpstr>Gender</vt:lpstr>
      <vt:lpstr>Family Structure</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Deak</dc:creator>
  <cp:lastModifiedBy>Sarah Graham</cp:lastModifiedBy>
  <dcterms:created xsi:type="dcterms:W3CDTF">2022-10-18T02:44:33Z</dcterms:created>
  <dcterms:modified xsi:type="dcterms:W3CDTF">2023-07-26T21:59:05Z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3e46a9-9901-46e9-bfae-bb6189d4cb66_Enabled">
    <vt:lpwstr>true</vt:lpwstr>
  </property>
  <property fmtid="{D5CDD505-2E9C-101B-9397-08002B2CF9AE}" pid="3" name="MSIP_Label_f43e46a9-9901-46e9-bfae-bb6189d4cb66_SetDate">
    <vt:lpwstr>2023-07-26T21:58:21Z</vt:lpwstr>
  </property>
  <property fmtid="{D5CDD505-2E9C-101B-9397-08002B2CF9AE}" pid="4" name="MSIP_Label_f43e46a9-9901-46e9-bfae-bb6189d4cb66_Method">
    <vt:lpwstr>Standard</vt:lpwstr>
  </property>
  <property fmtid="{D5CDD505-2E9C-101B-9397-08002B2CF9AE}" pid="5" name="MSIP_Label_f43e46a9-9901-46e9-bfae-bb6189d4cb66_Name">
    <vt:lpwstr>In-confidence</vt:lpwstr>
  </property>
  <property fmtid="{D5CDD505-2E9C-101B-9397-08002B2CF9AE}" pid="6" name="MSIP_Label_f43e46a9-9901-46e9-bfae-bb6189d4cb66_SiteId">
    <vt:lpwstr>e40c4f52-99bd-4d4f-bf7e-d001a2ca6556</vt:lpwstr>
  </property>
  <property fmtid="{D5CDD505-2E9C-101B-9397-08002B2CF9AE}" pid="7" name="MSIP_Label_f43e46a9-9901-46e9-bfae-bb6189d4cb66_ActionId">
    <vt:lpwstr>2fa9a87a-897e-489b-85d7-267e6af18bc1</vt:lpwstr>
  </property>
  <property fmtid="{D5CDD505-2E9C-101B-9397-08002B2CF9AE}" pid="8" name="MSIP_Label_f43e46a9-9901-46e9-bfae-bb6189d4cb66_ContentBits">
    <vt:lpwstr>1</vt:lpwstr>
  </property>
</Properties>
</file>